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FFICE DOCUMENTS\NARGIS\4.SUGHD\1.INVEST\2. CONSTRUCTION\ZP 01 b  Lot 2-Construction of WSS Bostondeh\2. PROCUREMENT-RETENDER\4.Tender issue\ТЕХНИЧЕСКАЯ ДОКУМЕНТАЦИЯ\Смета\"/>
    </mc:Choice>
  </mc:AlternateContent>
  <xr:revisionPtr revIDLastSave="0" documentId="13_ncr:1_{556D8DDE-1AE9-432F-9FC6-5E6360B5A4DD}" xr6:coauthVersionLast="47" xr6:coauthVersionMax="47" xr10:uidLastSave="{00000000-0000-0000-0000-000000000000}"/>
  <bookViews>
    <workbookView xWindow="-120" yWindow="-120" windowWidth="29040" windowHeight="15720" tabRatio="928" xr2:uid="{00000000-000D-0000-FFFF-FFFF00000000}"/>
  </bookViews>
  <sheets>
    <sheet name="SUM" sheetId="22" r:id="rId1"/>
    <sheet name="A" sheetId="26" r:id="rId2"/>
    <sheet name="B" sheetId="32" r:id="rId3"/>
    <sheet name="C" sheetId="40" r:id="rId4"/>
    <sheet name="D" sheetId="27" r:id="rId5"/>
    <sheet name="E" sheetId="36" r:id="rId6"/>
    <sheet name="F" sheetId="35" r:id="rId7"/>
    <sheet name="G" sheetId="42" r:id="rId8"/>
    <sheet name="H" sheetId="43" r:id="rId9"/>
    <sheet name="I" sheetId="46" r:id="rId10"/>
    <sheet name="J" sheetId="21" r:id="rId11"/>
  </sheets>
  <definedNames>
    <definedName name="_xlnm.Print_Area" localSheetId="0">SUM!$A$1:$G$39</definedName>
    <definedName name="zd">#REF!</definedName>
    <definedName name="Благоустройство" localSheetId="10">#REF!</definedName>
    <definedName name="Благоустройство" localSheetId="0">#REF!</definedName>
    <definedName name="Благоустройство">#REF!</definedName>
    <definedName name="Итого" localSheetId="10">#REF!</definedName>
    <definedName name="Итого" localSheetId="0">#REF!</definedName>
    <definedName name="Итого">#REF!</definedName>
    <definedName name="ТЗМ" localSheetId="10">#REF!</definedName>
    <definedName name="ТЗМ" localSheetId="0">#REF!</definedName>
    <definedName name="ТЗМ">#REF!</definedName>
    <definedName name="ТЗС" localSheetId="10">#REF!</definedName>
    <definedName name="ТЗС" localSheetId="0">#REF!</definedName>
    <definedName name="ТЗ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7" i="32" l="1"/>
  <c r="F127" i="32"/>
  <c r="F128" i="32"/>
  <c r="F129" i="32"/>
  <c r="F130" i="32"/>
  <c r="F126" i="32"/>
  <c r="F40" i="26"/>
  <c r="F117" i="32"/>
  <c r="F107" i="32"/>
  <c r="F108" i="32"/>
  <c r="F109" i="32"/>
  <c r="F110" i="32"/>
  <c r="F111" i="32"/>
  <c r="F112" i="32"/>
  <c r="F113" i="32"/>
  <c r="F114" i="32"/>
  <c r="F94" i="32"/>
  <c r="F95" i="32"/>
  <c r="F96" i="32"/>
  <c r="F97" i="32"/>
  <c r="F98" i="32"/>
  <c r="F99" i="32"/>
  <c r="F100" i="32"/>
  <c r="F101" i="32"/>
  <c r="F102" i="32"/>
  <c r="F103" i="32"/>
  <c r="F104" i="32"/>
  <c r="F79" i="32"/>
  <c r="F80" i="32"/>
  <c r="F81" i="32"/>
  <c r="F82" i="32"/>
  <c r="F83" i="32"/>
  <c r="F84" i="32"/>
  <c r="F86" i="32"/>
  <c r="F87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8" i="26"/>
  <c r="F9" i="26"/>
  <c r="F10" i="26"/>
  <c r="F11" i="26"/>
  <c r="F12" i="26"/>
  <c r="F13" i="26"/>
  <c r="F14" i="26"/>
  <c r="F15" i="26"/>
  <c r="F16" i="26"/>
  <c r="F17" i="26"/>
  <c r="F18" i="26"/>
  <c r="B19" i="22"/>
  <c r="B17" i="22"/>
  <c r="B22" i="22"/>
  <c r="B20" i="22"/>
  <c r="B18" i="22"/>
  <c r="B144" i="40"/>
  <c r="B145" i="40"/>
  <c r="B99" i="26"/>
  <c r="F94" i="26"/>
  <c r="F92" i="26"/>
  <c r="F90" i="26"/>
  <c r="F89" i="26"/>
  <c r="F95" i="26" s="1"/>
  <c r="F99" i="26" s="1"/>
  <c r="F88" i="26"/>
  <c r="F87" i="26"/>
  <c r="F139" i="40"/>
  <c r="F138" i="40"/>
  <c r="F137" i="40"/>
  <c r="F136" i="40"/>
  <c r="F135" i="40"/>
  <c r="F134" i="40"/>
  <c r="F133" i="40"/>
  <c r="F132" i="40"/>
  <c r="F130" i="40"/>
  <c r="F129" i="40"/>
  <c r="F128" i="40"/>
  <c r="F127" i="40"/>
  <c r="D126" i="40"/>
  <c r="F126" i="40" s="1"/>
  <c r="D125" i="40"/>
  <c r="F125" i="40" s="1"/>
  <c r="D124" i="40"/>
  <c r="F124" i="40" s="1"/>
  <c r="D123" i="40"/>
  <c r="F123" i="40" s="1"/>
  <c r="B143" i="40"/>
  <c r="F119" i="40"/>
  <c r="F118" i="40"/>
  <c r="F117" i="40"/>
  <c r="F116" i="40"/>
  <c r="F115" i="40"/>
  <c r="D113" i="40"/>
  <c r="F113" i="40" s="1"/>
  <c r="D112" i="40"/>
  <c r="F112" i="40" s="1"/>
  <c r="F111" i="40"/>
  <c r="F109" i="40"/>
  <c r="F107" i="40"/>
  <c r="D106" i="40"/>
  <c r="F106" i="40" s="1"/>
  <c r="D105" i="40"/>
  <c r="F105" i="40" s="1"/>
  <c r="D104" i="40"/>
  <c r="F104" i="40" s="1"/>
  <c r="F102" i="40"/>
  <c r="F100" i="40"/>
  <c r="F99" i="40"/>
  <c r="F98" i="40"/>
  <c r="D97" i="40"/>
  <c r="D93" i="40"/>
  <c r="D92" i="40"/>
  <c r="D91" i="40"/>
  <c r="F91" i="40" s="1"/>
  <c r="D90" i="40"/>
  <c r="D89" i="40"/>
  <c r="F89" i="40" s="1"/>
  <c r="F85" i="40"/>
  <c r="F84" i="40"/>
  <c r="F83" i="40"/>
  <c r="F82" i="40"/>
  <c r="F81" i="40"/>
  <c r="D79" i="40"/>
  <c r="D78" i="40"/>
  <c r="F76" i="40"/>
  <c r="F75" i="40"/>
  <c r="F74" i="40"/>
  <c r="D73" i="40"/>
  <c r="D70" i="40"/>
  <c r="F69" i="40"/>
  <c r="F67" i="40"/>
  <c r="F66" i="40"/>
  <c r="D65" i="40"/>
  <c r="F65" i="40" s="1"/>
  <c r="D64" i="40"/>
  <c r="F64" i="40" s="1"/>
  <c r="D63" i="40"/>
  <c r="F63" i="40" s="1"/>
  <c r="D62" i="40"/>
  <c r="F62" i="40" s="1"/>
  <c r="D61" i="40"/>
  <c r="F61" i="40" s="1"/>
  <c r="F60" i="40"/>
  <c r="F95" i="40"/>
  <c r="D58" i="40"/>
  <c r="F94" i="40"/>
  <c r="D57" i="40"/>
  <c r="D56" i="40"/>
  <c r="D55" i="40"/>
  <c r="F55" i="40" s="1"/>
  <c r="D54" i="40"/>
  <c r="F54" i="40" s="1"/>
  <c r="D53" i="40"/>
  <c r="F53" i="40" s="1"/>
  <c r="B85" i="27"/>
  <c r="B98" i="26"/>
  <c r="F83" i="26"/>
  <c r="D82" i="26"/>
  <c r="F82" i="26" s="1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1" i="26"/>
  <c r="F60" i="26"/>
  <c r="F59" i="26"/>
  <c r="F58" i="26"/>
  <c r="F57" i="26"/>
  <c r="F55" i="26"/>
  <c r="F54" i="26"/>
  <c r="F53" i="26"/>
  <c r="F52" i="26"/>
  <c r="F51" i="26"/>
  <c r="F50" i="26"/>
  <c r="D49" i="26"/>
  <c r="F49" i="26" s="1"/>
  <c r="D48" i="26"/>
  <c r="F48" i="26" s="1"/>
  <c r="F46" i="26"/>
  <c r="F45" i="26"/>
  <c r="D43" i="26"/>
  <c r="F43" i="26" s="1"/>
  <c r="D42" i="26"/>
  <c r="F42" i="26" s="1"/>
  <c r="F41" i="26"/>
  <c r="F39" i="26"/>
  <c r="D37" i="26"/>
  <c r="F37" i="26" s="1"/>
  <c r="F36" i="26"/>
  <c r="F34" i="26"/>
  <c r="D32" i="26"/>
  <c r="F32" i="26" s="1"/>
  <c r="F31" i="26"/>
  <c r="F30" i="26"/>
  <c r="F29" i="26"/>
  <c r="F28" i="26"/>
  <c r="F26" i="26"/>
  <c r="F25" i="26"/>
  <c r="F23" i="26"/>
  <c r="F140" i="40" l="1"/>
  <c r="F145" i="40" s="1"/>
  <c r="F78" i="40"/>
  <c r="F73" i="40"/>
  <c r="F79" i="40"/>
  <c r="F92" i="40"/>
  <c r="F71" i="40"/>
  <c r="F56" i="40"/>
  <c r="F86" i="40" s="1"/>
  <c r="F143" i="40" s="1"/>
  <c r="F70" i="40"/>
  <c r="F57" i="40"/>
  <c r="F58" i="40"/>
  <c r="F90" i="40"/>
  <c r="F97" i="40"/>
  <c r="F93" i="40"/>
  <c r="F72" i="40"/>
  <c r="F35" i="26"/>
  <c r="F84" i="26" s="1"/>
  <c r="F98" i="26" s="1"/>
  <c r="F120" i="40" l="1"/>
  <c r="F144" i="40" s="1"/>
  <c r="B112" i="36"/>
  <c r="F107" i="36"/>
  <c r="F106" i="36"/>
  <c r="F104" i="36"/>
  <c r="F103" i="36"/>
  <c r="F102" i="36"/>
  <c r="F101" i="36"/>
  <c r="F100" i="36"/>
  <c r="F99" i="36"/>
  <c r="F97" i="36"/>
  <c r="F96" i="36"/>
  <c r="F95" i="36"/>
  <c r="F94" i="36"/>
  <c r="F93" i="36"/>
  <c r="F91" i="36"/>
  <c r="F90" i="36"/>
  <c r="F89" i="36"/>
  <c r="F88" i="36"/>
  <c r="F87" i="36"/>
  <c r="F83" i="36"/>
  <c r="F82" i="36"/>
  <c r="F81" i="36"/>
  <c r="F80" i="36"/>
  <c r="F79" i="36"/>
  <c r="F78" i="36"/>
  <c r="F77" i="36"/>
  <c r="F76" i="36"/>
  <c r="F75" i="36"/>
  <c r="F72" i="36"/>
  <c r="F71" i="36"/>
  <c r="F70" i="36"/>
  <c r="D69" i="36"/>
  <c r="F69" i="36" s="1"/>
  <c r="D68" i="36"/>
  <c r="F68" i="36" s="1"/>
  <c r="D67" i="36"/>
  <c r="D66" i="36"/>
  <c r="F66" i="36" s="1"/>
  <c r="B111" i="36"/>
  <c r="D62" i="36"/>
  <c r="F62" i="36" s="1"/>
  <c r="D61" i="36"/>
  <c r="F61" i="36" s="1"/>
  <c r="F60" i="36"/>
  <c r="F59" i="36"/>
  <c r="F58" i="36"/>
  <c r="D54" i="36"/>
  <c r="F54" i="36" s="1"/>
  <c r="D53" i="36"/>
  <c r="F53" i="36" s="1"/>
  <c r="F67" i="36" l="1"/>
  <c r="F73" i="36" s="1"/>
  <c r="F108" i="36"/>
  <c r="F84" i="36"/>
  <c r="F63" i="36"/>
  <c r="F55" i="36"/>
  <c r="D69" i="46"/>
  <c r="F69" i="46" s="1"/>
  <c r="D68" i="46"/>
  <c r="F68" i="46" s="1"/>
  <c r="B88" i="46"/>
  <c r="F80" i="46"/>
  <c r="F79" i="46"/>
  <c r="F78" i="46"/>
  <c r="F77" i="46"/>
  <c r="F76" i="46"/>
  <c r="F75" i="46"/>
  <c r="F73" i="46"/>
  <c r="F72" i="46"/>
  <c r="F71" i="46"/>
  <c r="F70" i="46"/>
  <c r="D63" i="46"/>
  <c r="D50" i="46"/>
  <c r="D49" i="46"/>
  <c r="F49" i="46" s="1"/>
  <c r="D27" i="43"/>
  <c r="D17" i="43"/>
  <c r="D50" i="35"/>
  <c r="F73" i="27"/>
  <c r="D71" i="27"/>
  <c r="F138" i="32"/>
  <c r="F25" i="32"/>
  <c r="F63" i="46" l="1"/>
  <c r="F112" i="36"/>
  <c r="F111" i="36"/>
  <c r="F81" i="46"/>
  <c r="F88" i="46" l="1"/>
  <c r="B87" i="46" l="1"/>
  <c r="F47" i="46"/>
  <c r="F48" i="46"/>
  <c r="F50" i="46"/>
  <c r="F51" i="46"/>
  <c r="F52" i="46"/>
  <c r="F53" i="46"/>
  <c r="F54" i="46"/>
  <c r="F56" i="46"/>
  <c r="F57" i="46"/>
  <c r="F58" i="46"/>
  <c r="F59" i="46"/>
  <c r="F60" i="46"/>
  <c r="F61" i="46"/>
  <c r="F62" i="46"/>
  <c r="F64" i="46"/>
  <c r="F65" i="46"/>
  <c r="B86" i="46"/>
  <c r="F38" i="46"/>
  <c r="F39" i="46"/>
  <c r="F41" i="46"/>
  <c r="F42" i="46"/>
  <c r="F43" i="46"/>
  <c r="F44" i="46"/>
  <c r="F45" i="46"/>
  <c r="F46" i="46"/>
  <c r="B24" i="22"/>
  <c r="B23" i="22"/>
  <c r="B21" i="22"/>
  <c r="B16" i="22"/>
  <c r="B15" i="22"/>
  <c r="B85" i="46"/>
  <c r="B84" i="46"/>
  <c r="B83" i="46"/>
  <c r="B88" i="43"/>
  <c r="B87" i="43"/>
  <c r="B86" i="43"/>
  <c r="B85" i="43"/>
  <c r="B84" i="43"/>
  <c r="B83" i="43"/>
  <c r="B79" i="35"/>
  <c r="B78" i="35"/>
  <c r="B77" i="35"/>
  <c r="B76" i="35"/>
  <c r="B75" i="35"/>
  <c r="B74" i="35"/>
  <c r="B90" i="27"/>
  <c r="B89" i="27"/>
  <c r="B88" i="27"/>
  <c r="B87" i="27"/>
  <c r="B86" i="27"/>
  <c r="F66" i="46" l="1"/>
  <c r="F87" i="46" s="1"/>
  <c r="D30" i="46" l="1"/>
  <c r="D29" i="46"/>
  <c r="D28" i="46"/>
  <c r="D25" i="46"/>
  <c r="D24" i="46"/>
  <c r="D23" i="46"/>
  <c r="D18" i="46"/>
  <c r="D12" i="46"/>
  <c r="D9" i="46" l="1"/>
  <c r="F9" i="46" s="1"/>
  <c r="D7" i="46"/>
  <c r="F7" i="46" s="1"/>
  <c r="F35" i="46"/>
  <c r="F34" i="46"/>
  <c r="F28" i="46"/>
  <c r="F27" i="46"/>
  <c r="F25" i="46"/>
  <c r="F24" i="46"/>
  <c r="F23" i="46"/>
  <c r="F21" i="46"/>
  <c r="F29" i="46"/>
  <c r="F31" i="46"/>
  <c r="F30" i="46"/>
  <c r="F18" i="46"/>
  <c r="F17" i="46"/>
  <c r="F16" i="46"/>
  <c r="F11" i="46"/>
  <c r="F10" i="46"/>
  <c r="F13" i="46"/>
  <c r="F12" i="46"/>
  <c r="F8" i="46"/>
  <c r="A3" i="46"/>
  <c r="A2" i="46"/>
  <c r="D66" i="43"/>
  <c r="D65" i="43"/>
  <c r="D56" i="43"/>
  <c r="D55" i="43"/>
  <c r="D54" i="43"/>
  <c r="D53" i="43"/>
  <c r="D52" i="43"/>
  <c r="D50" i="43"/>
  <c r="F45" i="43"/>
  <c r="F46" i="43"/>
  <c r="D44" i="43"/>
  <c r="D43" i="43"/>
  <c r="F43" i="43" s="1"/>
  <c r="F42" i="43"/>
  <c r="D40" i="43"/>
  <c r="D29" i="43"/>
  <c r="D28" i="43"/>
  <c r="F36" i="46" l="1"/>
  <c r="F86" i="46" s="1"/>
  <c r="F32" i="46"/>
  <c r="F85" i="46" s="1"/>
  <c r="F14" i="46"/>
  <c r="F83" i="46" s="1"/>
  <c r="F19" i="46"/>
  <c r="F84" i="46" s="1"/>
  <c r="D18" i="43"/>
  <c r="F18" i="43" s="1"/>
  <c r="D11" i="43"/>
  <c r="F11" i="43" s="1"/>
  <c r="D8" i="43"/>
  <c r="F8" i="43" s="1"/>
  <c r="F80" i="43"/>
  <c r="F79" i="43"/>
  <c r="F78" i="43"/>
  <c r="F77" i="43"/>
  <c r="F76" i="43"/>
  <c r="F74" i="43"/>
  <c r="F73" i="43"/>
  <c r="F72" i="43"/>
  <c r="F70" i="43"/>
  <c r="F68" i="43"/>
  <c r="F67" i="43"/>
  <c r="F66" i="43"/>
  <c r="F65" i="43"/>
  <c r="F63" i="43"/>
  <c r="F61" i="43"/>
  <c r="F60" i="43"/>
  <c r="F59" i="43"/>
  <c r="F56" i="43"/>
  <c r="F55" i="43"/>
  <c r="F54" i="43"/>
  <c r="F53" i="43"/>
  <c r="F52" i="43"/>
  <c r="F51" i="43"/>
  <c r="F50" i="43"/>
  <c r="F44" i="43"/>
  <c r="F41" i="43"/>
  <c r="F40" i="43"/>
  <c r="F39" i="43"/>
  <c r="F36" i="43"/>
  <c r="F35" i="43"/>
  <c r="F32" i="43"/>
  <c r="F29" i="43"/>
  <c r="F28" i="43"/>
  <c r="F31" i="43"/>
  <c r="F30" i="43"/>
  <c r="F27" i="43"/>
  <c r="F26" i="43"/>
  <c r="F23" i="43"/>
  <c r="F22" i="43"/>
  <c r="F21" i="43"/>
  <c r="F20" i="43"/>
  <c r="F19" i="43"/>
  <c r="F17" i="43"/>
  <c r="F16" i="43"/>
  <c r="F13" i="43"/>
  <c r="F12" i="43"/>
  <c r="F10" i="43"/>
  <c r="F9" i="43"/>
  <c r="A3" i="43"/>
  <c r="A2" i="43"/>
  <c r="D40" i="42"/>
  <c r="D36" i="42"/>
  <c r="D35" i="42"/>
  <c r="D33" i="42"/>
  <c r="D32" i="42"/>
  <c r="F89" i="46" l="1"/>
  <c r="G23" i="22" s="1"/>
  <c r="F47" i="43"/>
  <c r="F87" i="43" s="1"/>
  <c r="F37" i="43"/>
  <c r="F86" i="43" s="1"/>
  <c r="F33" i="43"/>
  <c r="F85" i="43" s="1"/>
  <c r="F24" i="43"/>
  <c r="F84" i="43" s="1"/>
  <c r="F14" i="43"/>
  <c r="F83" i="43" s="1"/>
  <c r="B57" i="42" l="1"/>
  <c r="B56" i="42"/>
  <c r="F53" i="42"/>
  <c r="F52" i="42"/>
  <c r="F51" i="42"/>
  <c r="F50" i="42"/>
  <c r="F49" i="42"/>
  <c r="F48" i="42"/>
  <c r="F47" i="42"/>
  <c r="F46" i="42"/>
  <c r="F45" i="42"/>
  <c r="F44" i="42"/>
  <c r="F43" i="42"/>
  <c r="F42" i="42"/>
  <c r="F40" i="42"/>
  <c r="F39" i="42"/>
  <c r="F38" i="42"/>
  <c r="F36" i="42"/>
  <c r="F35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19" i="42"/>
  <c r="F18" i="42"/>
  <c r="F17" i="42"/>
  <c r="F15" i="42"/>
  <c r="F12" i="42"/>
  <c r="F8" i="42"/>
  <c r="F7" i="42"/>
  <c r="F9" i="42" s="1"/>
  <c r="A3" i="42"/>
  <c r="A2" i="42"/>
  <c r="F60" i="35"/>
  <c r="F61" i="35"/>
  <c r="F62" i="35"/>
  <c r="F63" i="35"/>
  <c r="F64" i="35"/>
  <c r="F66" i="35"/>
  <c r="F67" i="35"/>
  <c r="F68" i="35"/>
  <c r="F69" i="35"/>
  <c r="F70" i="35"/>
  <c r="F71" i="35"/>
  <c r="D59" i="35"/>
  <c r="F59" i="35" s="1"/>
  <c r="F54" i="35"/>
  <c r="F55" i="35"/>
  <c r="F56" i="35"/>
  <c r="F57" i="35"/>
  <c r="F58" i="35"/>
  <c r="F50" i="35"/>
  <c r="F47" i="35"/>
  <c r="F51" i="35"/>
  <c r="F52" i="35"/>
  <c r="F53" i="35"/>
  <c r="F46" i="35"/>
  <c r="F41" i="35"/>
  <c r="F34" i="35"/>
  <c r="F35" i="35"/>
  <c r="F36" i="35"/>
  <c r="F37" i="35"/>
  <c r="F33" i="35"/>
  <c r="F27" i="35"/>
  <c r="F28" i="35"/>
  <c r="F29" i="35"/>
  <c r="F30" i="35"/>
  <c r="F26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D43" i="35"/>
  <c r="F43" i="35" s="1"/>
  <c r="D42" i="35"/>
  <c r="F42" i="35" s="1"/>
  <c r="D40" i="35"/>
  <c r="F40" i="35" s="1"/>
  <c r="F24" i="35" l="1"/>
  <c r="F74" i="35" s="1"/>
  <c r="F14" i="42"/>
  <c r="F54" i="42" s="1"/>
  <c r="F57" i="42" s="1"/>
  <c r="F58" i="43"/>
  <c r="F81" i="43" s="1"/>
  <c r="F88" i="43" s="1"/>
  <c r="F89" i="43" s="1"/>
  <c r="G22" i="22" s="1"/>
  <c r="F31" i="35"/>
  <c r="F75" i="35" s="1"/>
  <c r="F48" i="35"/>
  <c r="F78" i="35" s="1"/>
  <c r="F44" i="35"/>
  <c r="F77" i="35" s="1"/>
  <c r="F38" i="35"/>
  <c r="F76" i="35" s="1"/>
  <c r="F72" i="35"/>
  <c r="F79" i="35" s="1"/>
  <c r="F56" i="42"/>
  <c r="F80" i="35" l="1"/>
  <c r="G20" i="22" s="1"/>
  <c r="F58" i="42"/>
  <c r="G21" i="22" s="1"/>
  <c r="F74" i="27" l="1"/>
  <c r="F75" i="27"/>
  <c r="F77" i="27"/>
  <c r="F78" i="27"/>
  <c r="F79" i="27"/>
  <c r="F80" i="27"/>
  <c r="F81" i="27"/>
  <c r="F82" i="27"/>
  <c r="D72" i="27"/>
  <c r="D65" i="27"/>
  <c r="F65" i="27" s="1"/>
  <c r="F64" i="27"/>
  <c r="F66" i="27"/>
  <c r="F67" i="27"/>
  <c r="F61" i="27"/>
  <c r="F60" i="27"/>
  <c r="F51" i="27"/>
  <c r="F53" i="27"/>
  <c r="F54" i="27"/>
  <c r="F55" i="27"/>
  <c r="F56" i="27"/>
  <c r="F57" i="27"/>
  <c r="F58" i="27"/>
  <c r="F59" i="27"/>
  <c r="D50" i="27"/>
  <c r="F50" i="27" s="1"/>
  <c r="F45" i="27"/>
  <c r="F44" i="27"/>
  <c r="F42" i="27"/>
  <c r="F41" i="27"/>
  <c r="F43" i="27"/>
  <c r="F48" i="27"/>
  <c r="F49" i="27"/>
  <c r="F38" i="27"/>
  <c r="D37" i="27"/>
  <c r="F37" i="27" s="1"/>
  <c r="D36" i="27"/>
  <c r="F36" i="27" s="1"/>
  <c r="D34" i="27"/>
  <c r="F34" i="27" s="1"/>
  <c r="F33" i="27"/>
  <c r="F31" i="27"/>
  <c r="D30" i="27"/>
  <c r="F30" i="27" s="1"/>
  <c r="D29" i="27"/>
  <c r="F29" i="27"/>
  <c r="F39" i="27"/>
  <c r="F40" i="27"/>
  <c r="F27" i="27"/>
  <c r="F22" i="27"/>
  <c r="F23" i="27"/>
  <c r="F24" i="27"/>
  <c r="F21" i="27"/>
  <c r="F46" i="27" l="1"/>
  <c r="F87" i="27" s="1"/>
  <c r="F62" i="27"/>
  <c r="F88" i="27" s="1"/>
  <c r="F68" i="27"/>
  <c r="F89" i="27" s="1"/>
  <c r="D20" i="27"/>
  <c r="F20" i="27" s="1"/>
  <c r="F15" i="27"/>
  <c r="F14" i="27"/>
  <c r="D12" i="27"/>
  <c r="D10" i="27"/>
  <c r="D9" i="27"/>
  <c r="D8" i="27"/>
  <c r="D7" i="27"/>
  <c r="B142" i="40" l="1"/>
  <c r="F49" i="40"/>
  <c r="F48" i="40"/>
  <c r="F47" i="40"/>
  <c r="F46" i="40"/>
  <c r="F45" i="40"/>
  <c r="F44" i="40"/>
  <c r="F43" i="40"/>
  <c r="F42" i="40"/>
  <c r="F41" i="40"/>
  <c r="F40" i="40"/>
  <c r="F39" i="40"/>
  <c r="F38" i="40"/>
  <c r="F36" i="40"/>
  <c r="F35" i="40"/>
  <c r="F34" i="40"/>
  <c r="F32" i="40"/>
  <c r="F31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5" i="40"/>
  <c r="F14" i="40"/>
  <c r="F13" i="40"/>
  <c r="F11" i="40"/>
  <c r="F10" i="40"/>
  <c r="D8" i="40"/>
  <c r="F8" i="40" s="1"/>
  <c r="A3" i="40"/>
  <c r="A2" i="40"/>
  <c r="F50" i="40" l="1"/>
  <c r="F142" i="40" s="1"/>
  <c r="F146" i="40"/>
  <c r="G17" i="22" s="1"/>
  <c r="F13" i="36" l="1"/>
  <c r="F14" i="36"/>
  <c r="F15" i="36"/>
  <c r="F41" i="36"/>
  <c r="F42" i="36"/>
  <c r="F43" i="36"/>
  <c r="F44" i="36"/>
  <c r="F45" i="36"/>
  <c r="F46" i="36"/>
  <c r="F47" i="36"/>
  <c r="F48" i="36"/>
  <c r="F49" i="36"/>
  <c r="F31" i="36"/>
  <c r="F29" i="36"/>
  <c r="F28" i="36"/>
  <c r="F24" i="36"/>
  <c r="F25" i="36"/>
  <c r="F26" i="36"/>
  <c r="F27" i="36"/>
  <c r="D8" i="36"/>
  <c r="F8" i="36" s="1"/>
  <c r="B110" i="36"/>
  <c r="F40" i="36"/>
  <c r="F39" i="36"/>
  <c r="F38" i="36"/>
  <c r="F36" i="36"/>
  <c r="F35" i="36"/>
  <c r="F34" i="36"/>
  <c r="F23" i="36"/>
  <c r="F22" i="36"/>
  <c r="F21" i="36"/>
  <c r="F20" i="36"/>
  <c r="F19" i="36"/>
  <c r="F18" i="36"/>
  <c r="A3" i="36"/>
  <c r="A2" i="36"/>
  <c r="B231" i="32"/>
  <c r="B230" i="32"/>
  <c r="B229" i="32"/>
  <c r="B228" i="32"/>
  <c r="B227" i="32"/>
  <c r="B226" i="32"/>
  <c r="B225" i="32"/>
  <c r="B224" i="32"/>
  <c r="F219" i="32"/>
  <c r="F220" i="32"/>
  <c r="F221" i="32"/>
  <c r="D209" i="32"/>
  <c r="F209" i="32" s="1"/>
  <c r="D208" i="32"/>
  <c r="F208" i="32" s="1"/>
  <c r="D197" i="32"/>
  <c r="F197" i="32" s="1"/>
  <c r="D196" i="32"/>
  <c r="F196" i="32" s="1"/>
  <c r="D195" i="32"/>
  <c r="F195" i="32" s="1"/>
  <c r="D194" i="32"/>
  <c r="F194" i="32" s="1"/>
  <c r="D193" i="32"/>
  <c r="F193" i="32" s="1"/>
  <c r="D192" i="32"/>
  <c r="F192" i="32" s="1"/>
  <c r="D191" i="32"/>
  <c r="F191" i="32" s="1"/>
  <c r="D189" i="32"/>
  <c r="F189" i="32" s="1"/>
  <c r="F216" i="32"/>
  <c r="F214" i="32"/>
  <c r="F213" i="32"/>
  <c r="F212" i="32"/>
  <c r="F211" i="32"/>
  <c r="F210" i="32"/>
  <c r="F207" i="32"/>
  <c r="F206" i="32"/>
  <c r="F205" i="32"/>
  <c r="F204" i="32"/>
  <c r="F203" i="32"/>
  <c r="F201" i="32"/>
  <c r="F200" i="32"/>
  <c r="F199" i="32"/>
  <c r="F190" i="32"/>
  <c r="F186" i="32"/>
  <c r="F160" i="32"/>
  <c r="F166" i="32"/>
  <c r="F167" i="32"/>
  <c r="F171" i="32"/>
  <c r="F173" i="32"/>
  <c r="F174" i="32"/>
  <c r="F175" i="32"/>
  <c r="F176" i="32"/>
  <c r="F177" i="32"/>
  <c r="F178" i="32"/>
  <c r="F179" i="32"/>
  <c r="F180" i="32"/>
  <c r="F181" i="32"/>
  <c r="F182" i="32"/>
  <c r="F183" i="32"/>
  <c r="F184" i="32"/>
  <c r="F170" i="32"/>
  <c r="F169" i="32"/>
  <c r="D165" i="32"/>
  <c r="F165" i="32" s="1"/>
  <c r="D164" i="32"/>
  <c r="F164" i="32" s="1"/>
  <c r="D163" i="32"/>
  <c r="F163" i="32" s="1"/>
  <c r="D162" i="32"/>
  <c r="F162" i="32" s="1"/>
  <c r="D161" i="32"/>
  <c r="F161" i="32" s="1"/>
  <c r="D159" i="32"/>
  <c r="F159" i="32" s="1"/>
  <c r="F134" i="32"/>
  <c r="D133" i="32"/>
  <c r="F133" i="32" s="1"/>
  <c r="F136" i="32"/>
  <c r="F137" i="32"/>
  <c r="F139" i="32"/>
  <c r="F140" i="32"/>
  <c r="F141" i="32"/>
  <c r="F143" i="32"/>
  <c r="F144" i="32"/>
  <c r="F145" i="32"/>
  <c r="F146" i="32"/>
  <c r="F147" i="32"/>
  <c r="F148" i="32"/>
  <c r="F149" i="32"/>
  <c r="F150" i="32"/>
  <c r="F151" i="32"/>
  <c r="F152" i="32"/>
  <c r="F154" i="32"/>
  <c r="F155" i="32"/>
  <c r="F156" i="32"/>
  <c r="F91" i="32"/>
  <c r="D85" i="32"/>
  <c r="F85" i="32" s="1"/>
  <c r="D78" i="32"/>
  <c r="F78" i="32" s="1"/>
  <c r="F93" i="32"/>
  <c r="F106" i="32"/>
  <c r="F116" i="32"/>
  <c r="F135" i="32"/>
  <c r="F56" i="32"/>
  <c r="F217" i="32" l="1"/>
  <c r="F11" i="36"/>
  <c r="F32" i="36"/>
  <c r="F10" i="36"/>
  <c r="F187" i="32"/>
  <c r="F229" i="32" s="1"/>
  <c r="F222" i="32"/>
  <c r="F231" i="32" s="1"/>
  <c r="F131" i="32"/>
  <c r="F227" i="32" s="1"/>
  <c r="F230" i="32"/>
  <c r="D18" i="32"/>
  <c r="F18" i="32" s="1"/>
  <c r="D17" i="32"/>
  <c r="F17" i="32" s="1"/>
  <c r="D16" i="32"/>
  <c r="F16" i="32" s="1"/>
  <c r="D15" i="32"/>
  <c r="F15" i="32" s="1"/>
  <c r="D11" i="32"/>
  <c r="F11" i="32" s="1"/>
  <c r="F10" i="32"/>
  <c r="D9" i="32"/>
  <c r="F9" i="32" s="1"/>
  <c r="D8" i="32"/>
  <c r="F8" i="32" s="1"/>
  <c r="D7" i="32"/>
  <c r="F7" i="32" s="1"/>
  <c r="F12" i="32"/>
  <c r="F13" i="32"/>
  <c r="F14" i="32"/>
  <c r="F21" i="32"/>
  <c r="F22" i="32"/>
  <c r="F23" i="32"/>
  <c r="F24" i="32"/>
  <c r="F27" i="32"/>
  <c r="B97" i="26"/>
  <c r="A3" i="35"/>
  <c r="A2" i="35"/>
  <c r="F50" i="36" l="1"/>
  <c r="F110" i="36" s="1"/>
  <c r="F113" i="36" s="1"/>
  <c r="F228" i="32"/>
  <c r="F19" i="32"/>
  <c r="F224" i="32" s="1"/>
  <c r="F88" i="32"/>
  <c r="F225" i="32" s="1"/>
  <c r="F19" i="26"/>
  <c r="F7" i="26"/>
  <c r="F20" i="26" l="1"/>
  <c r="G19" i="22"/>
  <c r="A2" i="27"/>
  <c r="A2" i="32"/>
  <c r="A2" i="21"/>
  <c r="A2" i="26"/>
  <c r="A3" i="21" l="1"/>
  <c r="F97" i="26" l="1"/>
  <c r="F100" i="26" l="1"/>
  <c r="G15" i="22" s="1"/>
  <c r="A3" i="26"/>
  <c r="A3" i="27"/>
  <c r="A3" i="32"/>
  <c r="F72" i="27" l="1"/>
  <c r="F71" i="27"/>
  <c r="F70" i="27"/>
  <c r="F19" i="27"/>
  <c r="F18" i="27"/>
  <c r="F11" i="27"/>
  <c r="F10" i="27"/>
  <c r="F13" i="27"/>
  <c r="F12" i="27"/>
  <c r="F9" i="27"/>
  <c r="F8" i="27"/>
  <c r="F7" i="27"/>
  <c r="F25" i="27" l="1"/>
  <c r="F86" i="27" s="1"/>
  <c r="F83" i="27"/>
  <c r="F16" i="27"/>
  <c r="F85" i="27" s="1"/>
  <c r="F9" i="21"/>
  <c r="F8" i="21"/>
  <c r="F7" i="21"/>
  <c r="F6" i="21"/>
  <c r="F90" i="27" l="1"/>
  <c r="F91" i="27" s="1"/>
  <c r="G18" i="22" s="1"/>
  <c r="F10" i="21"/>
  <c r="G24" i="22" s="1"/>
  <c r="F90" i="32" l="1"/>
  <c r="F120" i="32" l="1"/>
  <c r="F122" i="32"/>
  <c r="F123" i="32"/>
  <c r="F119" i="32"/>
  <c r="F118" i="32"/>
  <c r="F124" i="32" s="1"/>
  <c r="F226" i="32" s="1"/>
  <c r="F232" i="32" s="1"/>
  <c r="G16" i="22" s="1"/>
  <c r="G25" i="22" s="1"/>
  <c r="F121" i="32"/>
</calcChain>
</file>

<file path=xl/sharedStrings.xml><?xml version="1.0" encoding="utf-8"?>
<sst xmlns="http://schemas.openxmlformats.org/spreadsheetml/2006/main" count="2624" uniqueCount="1017">
  <si>
    <t>А</t>
  </si>
  <si>
    <t>1.1</t>
  </si>
  <si>
    <t>A</t>
  </si>
  <si>
    <t>B</t>
  </si>
  <si>
    <t>C</t>
  </si>
  <si>
    <t>D</t>
  </si>
  <si>
    <t>E</t>
  </si>
  <si>
    <t xml:space="preserve">РЕКАПИТУЛЯЦИЯ/RECAPITULATION </t>
  </si>
  <si>
    <t xml:space="preserve">ОБЩИЙ ИТОГ  GRAND TOTAL </t>
  </si>
  <si>
    <t>ОБЩИЕ ПРИМЕЧАНИЯ</t>
  </si>
  <si>
    <t xml:space="preserve">* Ведомость объемов работ должна рассматриваться вместе с Технической спецификацией и Проектом тендера.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Цена еденицы должна включать закупку, транспортировку, профессиональный монтаж, испытание и все сопутсвуюшие расходы и работы,включая услуги Служба государственного надзора в сфере архитектуры и строительства 0,15%                                                                                                           
* Все работы должны быть выполнены профессионально и согласно данному описанию, спецификациям, чертежам, схемам и детальям                                                                                                                              
* В случае каких-либо различий между BOQ, проектами и / или чертежами, инструкция супервайзера имеет преимущественную силу                                                                                                                                
* Подрядчик должен предоставить образцы всех материалов, которые будут использоваться в проекте, до их доставки на объект, и получить одобрение инженера-супервайзера.                                                    
* Если Подрядчик не укажет цены на какие-либо позиции в Смете, стоимость работ по таким позициям будет считаться включенной в общую сумму.                                                                                           </t>
  </si>
  <si>
    <t xml:space="preserve">GENERAL NOTES: </t>
  </si>
  <si>
    <t xml:space="preserve">* The Bill of Quantities shall be read in conjunction with the Technical Specification and the Tender Design.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Unit price shall include procurement, transportation, professional installing, inspection and all other related expenses, including services State Supervision Service for Architecture and Construction 0.15%                                                                                                                                                                 
* All works must be done professionally and according to this description, specifications, drawings, schemes and details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In case of any difference between BOQ, designs and/or drawings, the instruction of the supervisor Engineer will govern.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The contractor shall provide samples for all materials used in the project before delivery to get approval from the supervisor Engineer.                                                                                               
* If the Contractor omits to price any items in the Bill of Quantities, the cost of work for such items will be considered included in the total amount.                                                                                        </t>
  </si>
  <si>
    <t xml:space="preserve">CONTRACTOR / ПОДРЯДЧИК </t>
  </si>
  <si>
    <t>Director/Директор</t>
  </si>
  <si>
    <t>____________________________________</t>
  </si>
  <si>
    <t xml:space="preserve">signature and seal - подпись и печать </t>
  </si>
  <si>
    <t>Итого/Total</t>
  </si>
  <si>
    <t>1.2</t>
  </si>
  <si>
    <t>1.3</t>
  </si>
  <si>
    <t>1.4</t>
  </si>
  <si>
    <t>1.5</t>
  </si>
  <si>
    <t>1.6</t>
  </si>
  <si>
    <t>1.7</t>
  </si>
  <si>
    <t>1.8</t>
  </si>
  <si>
    <t>2.7</t>
  </si>
  <si>
    <t>1.9</t>
  </si>
  <si>
    <t>2.9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</si>
  <si>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</si>
  <si>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</si>
  <si>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</si>
  <si>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</si>
  <si>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</si>
  <si>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</si>
  <si>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</si>
  <si>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</si>
  <si>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</si>
  <si>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2.8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</si>
  <si>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</si>
  <si>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</si>
  <si>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</si>
  <si>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</si>
  <si>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</si>
  <si>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</si>
  <si>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</si>
  <si>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</si>
  <si>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</si>
  <si>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</si>
  <si>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</si>
  <si>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</si>
  <si>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</si>
  <si>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</si>
  <si>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</si>
  <si>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</si>
  <si>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</si>
  <si>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</si>
  <si>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</si>
  <si>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</si>
  <si>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</si>
  <si>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</si>
  <si>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</si>
  <si>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</si>
  <si>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</si>
  <si>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</si>
  <si>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4.2</t>
  </si>
  <si>
    <t>4.3</t>
  </si>
  <si>
    <t>4.4</t>
  </si>
  <si>
    <t>4.5</t>
  </si>
  <si>
    <t>5.1</t>
  </si>
  <si>
    <t>6.3</t>
  </si>
  <si>
    <t>7.2</t>
  </si>
  <si>
    <t>5.4</t>
  </si>
  <si>
    <t>5.2</t>
  </si>
  <si>
    <t>5.3</t>
  </si>
  <si>
    <t>5.5</t>
  </si>
  <si>
    <t>6.1</t>
  </si>
  <si>
    <t>6.2</t>
  </si>
  <si>
    <t>6.4</t>
  </si>
  <si>
    <t>6.5</t>
  </si>
  <si>
    <t>7.1</t>
  </si>
  <si>
    <t>7.3</t>
  </si>
  <si>
    <t>7.4</t>
  </si>
  <si>
    <t>7.5</t>
  </si>
  <si>
    <t>8.1</t>
  </si>
  <si>
    <t>8.2</t>
  </si>
  <si>
    <t>8.3</t>
  </si>
  <si>
    <t>м3/m3</t>
  </si>
  <si>
    <t>м/m</t>
  </si>
  <si>
    <t>тн/tn</t>
  </si>
  <si>
    <t>шт/pcs</t>
  </si>
  <si>
    <t>кг/kg</t>
  </si>
  <si>
    <t>м2/m2</t>
  </si>
  <si>
    <t xml:space="preserve">НАИМЕНОВАНИЕ РАБОТ
DESCRIPTION OF WORKS </t>
  </si>
  <si>
    <t>3</t>
  </si>
  <si>
    <t>F</t>
  </si>
  <si>
    <t>№
No</t>
  </si>
  <si>
    <r>
      <t xml:space="preserve">ОПИСАНИЕ ЕДИНИЦЫ
</t>
    </r>
    <r>
      <rPr>
        <b/>
        <i/>
        <sz val="12"/>
        <color rgb="FF000000"/>
        <rFont val="Times New Roman"/>
        <family val="1"/>
      </rPr>
      <t>Description</t>
    </r>
  </si>
  <si>
    <r>
      <t xml:space="preserve">Единица 
измерения
</t>
    </r>
    <r>
      <rPr>
        <b/>
        <i/>
        <sz val="12"/>
        <color rgb="FF000000"/>
        <rFont val="Times New Roman"/>
        <family val="1"/>
      </rPr>
      <t>Unit</t>
    </r>
  </si>
  <si>
    <r>
      <t xml:space="preserve">Объем
</t>
    </r>
    <r>
      <rPr>
        <b/>
        <i/>
        <sz val="12"/>
        <color rgb="FF000000"/>
        <rFont val="Times New Roman"/>
        <family val="1"/>
      </rPr>
      <t>Quantity</t>
    </r>
  </si>
  <si>
    <t>Цена единицы
Unit Price [TJS]</t>
  </si>
  <si>
    <t>Общая Сумма 
 Total Price [TJS]</t>
  </si>
  <si>
    <t>item /
шт</t>
  </si>
  <si>
    <t>Demobilisation / Демобилизация</t>
  </si>
  <si>
    <t>months/
мес</t>
  </si>
  <si>
    <t>Nurse / Медсестра</t>
  </si>
  <si>
    <t>Health and Safety / Охрана труда и техника безопасности</t>
  </si>
  <si>
    <t xml:space="preserve">Итого / Total </t>
  </si>
  <si>
    <t>Дата/Date:</t>
  </si>
  <si>
    <t xml:space="preserve">SUMMARY SHEET/СВОДНЫЙ ЛИСТ </t>
  </si>
  <si>
    <r>
      <t xml:space="preserve">№
</t>
    </r>
    <r>
      <rPr>
        <b/>
        <i/>
        <sz val="14"/>
        <color theme="1"/>
        <rFont val="Times New Roman"/>
        <family val="1"/>
      </rPr>
      <t>No</t>
    </r>
  </si>
  <si>
    <t>ОПИСАНИЕ ЕДИНИЦЫ
Description</t>
  </si>
  <si>
    <t>СУММА В СОМОНИ
 AMOUNT IN TJS</t>
  </si>
  <si>
    <r>
      <t xml:space="preserve">ОБЩАЯ СТОИМОСТЬ СОМОНИ </t>
    </r>
    <r>
      <rPr>
        <b/>
        <i/>
        <sz val="14"/>
        <rFont val="Times New Roman"/>
        <family val="1"/>
      </rPr>
      <t>(без учета НДС 7%)</t>
    </r>
    <r>
      <rPr>
        <b/>
        <sz val="14"/>
        <rFont val="Times New Roman"/>
        <family val="1"/>
      </rPr>
      <t xml:space="preserve">/                                                                         TOTAL COST TJS </t>
    </r>
    <r>
      <rPr>
        <b/>
        <i/>
        <sz val="14"/>
        <rFont val="Times New Roman"/>
        <family val="1"/>
      </rPr>
      <t>(excluding VAT 7%)</t>
    </r>
  </si>
  <si>
    <t>Все цифры округлены в общем столбце до двух после запятой/
All figures are rounded to two decimal places in the total column.</t>
  </si>
  <si>
    <r>
      <t xml:space="preserve">№
</t>
    </r>
    <r>
      <rPr>
        <b/>
        <i/>
        <sz val="12"/>
        <color theme="1"/>
        <rFont val="Times New Roman"/>
        <family val="1"/>
      </rPr>
      <t>No</t>
    </r>
  </si>
  <si>
    <r>
      <t xml:space="preserve">Единица 
измерения
</t>
    </r>
    <r>
      <rPr>
        <b/>
        <i/>
        <sz val="12"/>
        <color theme="1"/>
        <rFont val="Times New Roman"/>
        <family val="1"/>
      </rPr>
      <t>Unit</t>
    </r>
  </si>
  <si>
    <t>Объем
Quantity</t>
  </si>
  <si>
    <t>НА ОФИЦИАЛЬНОМ БЛАНКЕ КОМПАНИИ</t>
  </si>
  <si>
    <t>6</t>
  </si>
  <si>
    <t>7</t>
  </si>
  <si>
    <t>8</t>
  </si>
  <si>
    <t>9</t>
  </si>
  <si>
    <t>Завоз грунта на расстояние 5 км / Delivery of soil over a distance of 5 km</t>
  </si>
  <si>
    <t>Арматура кл. А-I Ø6-10мм Российская / Rebar cl. A-I Ø6-10mm Russian</t>
  </si>
  <si>
    <t>Арматура кл. А-III Ø12-18мм Российская / Rebar cl. A-III Ø12-18mm Russian</t>
  </si>
  <si>
    <t>Арматура  кл. А-I Росийская / Rebar cl. A-I Russian</t>
  </si>
  <si>
    <t>Арматура кл. А-III Росийская / Rebar cl. A-III Russian</t>
  </si>
  <si>
    <t>Гидроизоляция боковая обмазочная битумная в 2 слоя / Lateral coating waterproofing bitumen in 2 layers</t>
  </si>
  <si>
    <t>Установка закладных деталей весом: до 4 кг / Installation of embedded parts weighing up to 4 kg</t>
  </si>
  <si>
    <t>Земляные работы / Excavation works</t>
  </si>
  <si>
    <t>Уплотнение грунта пневматическими трамбовками, группа грунтов: 1, 2 / Soil compaction with pneumatic tampers, soil group: 1, 2</t>
  </si>
  <si>
    <t>Устройство бетонной подготовки из бетона М50  / Concrete preparation device made of M50 concrete</t>
  </si>
  <si>
    <t>Установка стальных конструкций, остающихся в теле бетона / Installation of steel structures remaining in the concrete body</t>
  </si>
  <si>
    <t>Установка полиэтиленовых фасонных частей: отводов, колен, патрубков, переходов / Installation of polyethylene fittings: bends, elbows, pipes, transitions</t>
  </si>
  <si>
    <t>Устройство фундаментов под сетчатое 
на металлических стойках из бетоа М200 / Construction of foundations for mesh
on metal stands made of Betoa M200</t>
  </si>
  <si>
    <t>Изготовление и монтаж металлическое огражденние и ворот / Manufacturing and installation of metal fencing and gates</t>
  </si>
  <si>
    <t>Ворота ВР-1 (1 штук) / Gate VR-1 (1 piece)</t>
  </si>
  <si>
    <t>Огрунтовка металлических поверхностей за один раз грунтовкой ГФ-021 / One-time priming of metal surfaces with primer GF-021</t>
  </si>
  <si>
    <t>Окраска металлических огрунтованных поверхностей эмалью ПФ-115 два раза / Painting of metal primed surfaces with PF-115 enamel twice</t>
  </si>
  <si>
    <t>2</t>
  </si>
  <si>
    <t>Фундаменты / Foundations</t>
  </si>
  <si>
    <t>4</t>
  </si>
  <si>
    <t>Установка стальных конструкций выпусков / Installation of steel outlet structures</t>
  </si>
  <si>
    <t>G</t>
  </si>
  <si>
    <t>Электрические сети КЛ-0,4кВ / Electric networks CL-0.4 Kv</t>
  </si>
  <si>
    <t>Земляные работы / Excavation work</t>
  </si>
  <si>
    <t>Металлическое ограждение и ворота / Metal fencing and gates</t>
  </si>
  <si>
    <t>1</t>
  </si>
  <si>
    <t>5</t>
  </si>
  <si>
    <t>10</t>
  </si>
  <si>
    <t>11</t>
  </si>
  <si>
    <t>12</t>
  </si>
  <si>
    <t>13</t>
  </si>
  <si>
    <t>Сеточный ограждение / Mesh fencing</t>
  </si>
  <si>
    <t>2.26</t>
  </si>
  <si>
    <t>Установка шаровой кран компрессионный для труб из ПЭ ∅20мм / Installation of compression ball valve for PE pipes ∅20mm</t>
  </si>
  <si>
    <t>2.27</t>
  </si>
  <si>
    <t>Резервуар 150м3 / Reservoir 150m3</t>
  </si>
  <si>
    <t>Подготовительные работы / Preliminaries</t>
  </si>
  <si>
    <t>Мобилизация включая (Временные здания и сооружения ).Сумма выплачивается после подписания обеими сторонами акта выполненных работ/ Mobilization including (Temporary building). The amount is paid after both parties sign the certificate of completion of work</t>
  </si>
  <si>
    <t>Хлораторная / Chlorinator</t>
  </si>
  <si>
    <t>Установка манометров: с трехходовым краном / Installation of pressure gauges: with three-way valve</t>
  </si>
  <si>
    <t>Доработка грунта вручную, группа грунтов 2 / Manual modification of soil, soil group 2</t>
  </si>
  <si>
    <t>Засыпка котлованов и обвалование  с перемещением грунта до 5 м бульдозерами мощностью: 59 (80) кВт (л.с.), 2 группа грунтов / Filling pits and diking with soil movement up to 5 m using bulldozers with power: 59 (80) kW (hp), 2 group of soils</t>
  </si>
  <si>
    <t>Уплотнение грунта пневматическими трамбовками, группа грунтов: 1 / Soil compaction with pneumatic tampers, soil group: 1</t>
  </si>
  <si>
    <t>Приварка фланцев к стальным трубопроводам диаметром: 150 мм</t>
  </si>
  <si>
    <t>Фланец ст. свободный ∅ 150 мм</t>
  </si>
  <si>
    <t>Фланец ст. приварной ∅150 мм</t>
  </si>
  <si>
    <t>Приварка фланцев к стальным трубопроводам диаметром: 80 мм. Фланец ст. свободный ∅ 80 мм</t>
  </si>
  <si>
    <t xml:space="preserve">Разработка грунта с погрузкой в автомобили-самосвалы экскаваторами типа "ATLAS", "VOLVO", "KOMATSU", "HITACHI", "LIEBHER" с ковшом вместимостью 1,0 (1-1,2) м3, группа грунтов: 2 / Soil development with loading into dump trucks using excavators such as "ATLAS", "VOLVO", "KOMATSU", "HITACHI", "LIEBHER" with a bucket with a capacity of 1,0 (1-1,2) m3, soil group: 2 </t>
  </si>
  <si>
    <t>Завоз грунта на расст. до 5 км на автомашине грузоподъемностью до 15 т, стоимость топлива 10,7 сомони / Delivery of soil to the distance. up to 5 km in a vehicle with a carrying capacity of up to 15 tons, fuel cost 10.7 somoni</t>
  </si>
  <si>
    <t>Разработка грунта в отвал экскаваторами "драглайн" или "обратная лопата" с ковшом вместимостью 0,5 (0,5-0,63) м3, группа грунтов: 2 / Development of soil into a dump using dragline or backhoe excavators with a bucket capacity of 0.5 (0.5-0.63) m3, soil group: 2</t>
  </si>
  <si>
    <t>Засыпка траншей и котлованов с перемещением грунта до 5 м бульдозерами мощностью: 59 (80) кВт (л.с.), 1 группа грунтов / Backfilling of trenches and pits with soil movement up to 5 m using bulldozers with power: 59 (80) kW (hp), 1 group of soils</t>
  </si>
  <si>
    <t>Обратная засыпка грунта вручную,  группа грунтов 1 / Manual backfilling of soil, soil group 1</t>
  </si>
  <si>
    <t>Устройство основания под фундаменты щебеночного / Construction of the base for crushed stone foundations</t>
  </si>
  <si>
    <t>Устройство ленточных фундаментов: бетонных  из бетона класса В-20 Ф-1 / Construction of strip foundations: concrete from concrete class B-20 F-1</t>
  </si>
  <si>
    <t>Устройство стен Стм-1: бетонных. Бетон В 25 М:350 / Construction of walls STM-1: concrete. Concrete B 25 M: 350</t>
  </si>
  <si>
    <t>Армирование подстилающих слоев и набетонок / Reinforcement of underlying layers and concrete layers</t>
  </si>
  <si>
    <t>Кожух стальной / Steel casing</t>
  </si>
  <si>
    <t>Устройство теплоизоляционного слоя из пеноплекса. Пеноплекс 50мм / Installation of a thermal insulation layer made of penoplex. Penoplex 50mm</t>
  </si>
  <si>
    <t>Установка закладных деталей (Стремянка) / Installation of embedded parts (ladder)</t>
  </si>
  <si>
    <t>Огрунтовка поверхностей за один раз грунтовкой ГФ-021 / Prime surfaces at one time using primer GF-021</t>
  </si>
  <si>
    <t>Масляная окраска металлических поверхностей: количество окрасок 2 / Oil painting of metal surfaces: number of colors 2</t>
  </si>
  <si>
    <t>Устройство ж/б перекрытий. Бетон В 20 М:250 / Installation of reinforced concrete floors. Concrete B 20 M: 250</t>
  </si>
  <si>
    <t>Установка закладных деталей Зд-1 / Installation of embedded parts Zd-1</t>
  </si>
  <si>
    <t>Люк тип Т / Hatch type T</t>
  </si>
  <si>
    <t>Устройство отмостки бетонные. Бетон тяжелый, класс В 7,5 (М100) / Construction of concrete blind areas. Heavy concrete, class B 7.5 (M100)</t>
  </si>
  <si>
    <t>Отмоска / blind area</t>
  </si>
  <si>
    <t>Установка фильтр грубой очистки ППР∅15мм, PN10 / Installation of coarse filter PPR∅15mm, PN10</t>
  </si>
  <si>
    <t>Установка счётчик холодной воды ВСХ-15-02 (130мм) Д=15 мм / Installation of cold water meter VSKH-15-02 (130mm) D=15 mm</t>
  </si>
  <si>
    <t>Водомерных узлов (общ. 715 шт) / Water meter units (total 715 pcs.)</t>
  </si>
  <si>
    <t>5.6</t>
  </si>
  <si>
    <t>7.6</t>
  </si>
  <si>
    <t>6.6</t>
  </si>
  <si>
    <t>2.28</t>
  </si>
  <si>
    <t>2.29</t>
  </si>
  <si>
    <t>2.30</t>
  </si>
  <si>
    <t>2.31</t>
  </si>
  <si>
    <t>2.32</t>
  </si>
  <si>
    <t>2.33</t>
  </si>
  <si>
    <t>2.34</t>
  </si>
  <si>
    <t>2.3.5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</si>
  <si>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</si>
  <si>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</si>
  <si>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</si>
  <si>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</si>
  <si>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</si>
  <si>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</si>
  <si>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</si>
  <si>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</si>
  <si>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</si>
  <si>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</si>
  <si>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</si>
  <si>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</si>
  <si>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</si>
  <si>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</si>
  <si>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</si>
  <si>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</si>
  <si>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</si>
  <si>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</si>
  <si>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</si>
  <si>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</si>
  <si>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</si>
  <si>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</si>
  <si>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</si>
  <si>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</si>
  <si>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</si>
  <si>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</si>
  <si>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</si>
  <si>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</si>
  <si>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</si>
  <si>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</si>
  <si>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</si>
  <si>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</si>
  <si>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</si>
  <si>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</si>
  <si>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</si>
  <si>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</si>
  <si>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</si>
  <si>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</si>
  <si>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</si>
  <si>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</si>
  <si>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</si>
  <si>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</si>
  <si>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</si>
  <si>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</si>
  <si>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</si>
  <si>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</si>
  <si>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</si>
  <si>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</si>
  <si>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</si>
  <si>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</si>
  <si>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</si>
  <si>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</si>
  <si>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</si>
  <si>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</si>
  <si>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</si>
  <si>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</si>
  <si>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</si>
  <si>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</si>
  <si>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</si>
  <si>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</si>
  <si>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</si>
  <si>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</si>
  <si>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</si>
  <si>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</si>
  <si>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</si>
  <si>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</si>
  <si>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</si>
  <si>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</si>
  <si>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</si>
  <si>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</si>
  <si>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</si>
  <si>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</si>
  <si>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</si>
  <si>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</si>
  <si>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</si>
  <si>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</si>
  <si>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</si>
  <si>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</si>
  <si>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</si>
  <si>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</si>
  <si>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</si>
  <si>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</si>
  <si>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</si>
  <si>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</si>
  <si>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</si>
  <si>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</si>
  <si>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</si>
  <si>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</si>
  <si>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</si>
  <si>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</si>
  <si>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</si>
  <si>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</si>
  <si>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</si>
  <si>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</si>
  <si>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</si>
  <si>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</si>
  <si>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</si>
  <si>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</si>
  <si>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</si>
  <si>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</si>
  <si>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</si>
  <si>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</si>
  <si>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</si>
  <si>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</si>
  <si>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Магистральный трубопровод (водовод) / Main pipeline (water pipeline)</t>
  </si>
  <si>
    <t>Зона водоснабжения 2 / Water supply zone 2</t>
  </si>
  <si>
    <t>Установка полиэтиленовых фасонных частей: тройников / Installation of polyethylene fittings: tees</t>
  </si>
  <si>
    <t>Переходы в каналах / Transitions in channels</t>
  </si>
  <si>
    <t>Разработка грунта вручную в траншеях, группа грунтов: 2 / Manual development of soil in trenches, soil group: 2</t>
  </si>
  <si>
    <t>Фундаменты (60 шт) / Foundation (60pcs)</t>
  </si>
  <si>
    <t>Армирование подстилающих слоев и набетонок.</t>
  </si>
  <si>
    <t>Ограждение ОГ-1 (L=3п.м). Lобщ.=147м=49шт / Fencing OG-1 (L=3p.m). Ltot.=147m= 49pcs</t>
  </si>
  <si>
    <t>2.3.1</t>
  </si>
  <si>
    <t>2.3.2</t>
  </si>
  <si>
    <t>2.3.3</t>
  </si>
  <si>
    <t>2.3.4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</si>
  <si>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</si>
  <si>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</si>
  <si>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</si>
  <si>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</si>
  <si>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</si>
  <si>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</si>
  <si>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</si>
  <si>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</si>
  <si>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</si>
  <si>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</si>
  <si>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</si>
  <si>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</si>
  <si>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</si>
  <si>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</si>
  <si>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</si>
  <si>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</si>
  <si>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2.3.22</t>
  </si>
  <si>
    <t>2.3.23</t>
  </si>
  <si>
    <t>2.3.24</t>
  </si>
  <si>
    <t>2.3.25</t>
  </si>
  <si>
    <t>2.3.26</t>
  </si>
  <si>
    <t>2.3.27</t>
  </si>
  <si>
    <t>2.3.28</t>
  </si>
  <si>
    <t>2.3.29</t>
  </si>
  <si>
    <t>2.3.30</t>
  </si>
  <si>
    <t>Гравийное покрытие / Gravel surface</t>
  </si>
  <si>
    <t>Устройство подстилающих и выравнивающих слоев оснований: из щебня / Construction of underlying and leveling layers of foundations: crushed stone</t>
  </si>
  <si>
    <t>Добавлять к нормам при использовании однослойных и верхнего слоя двухслойных оснований под движение транспорта до полного окончания работ / Add to the standards when using single-layer and the top layer of two-layer bases for traffic until the work is completed</t>
  </si>
  <si>
    <t>П-8 А-I ∅10мм / P-8 A-I ∅10mm</t>
  </si>
  <si>
    <t>Сетка С-14 ∅8 АI / Mesh S-14 ∅8 AI</t>
  </si>
  <si>
    <t>Фундаменты</t>
  </si>
  <si>
    <t>2.2.3</t>
  </si>
  <si>
    <t>Срезка проемов для окон и дверей контейнера / Cutting openings for windows and container doors</t>
  </si>
  <si>
    <t>4х940мм     L=940мм</t>
  </si>
  <si>
    <t>40х4мм     L=700мм</t>
  </si>
  <si>
    <t>∅12АI        L=600 мм</t>
  </si>
  <si>
    <t>∅21,3х2        L=30мм</t>
  </si>
  <si>
    <t>40х4мм     L=150мм</t>
  </si>
  <si>
    <t>∅12АI        L=800 мм</t>
  </si>
  <si>
    <t>∅12АI        L=110 мм</t>
  </si>
  <si>
    <t>Засыпка котлованов и обвалование  с перемещением грунта до 5 м бульдозерами мощностью: 59 (80) кВт (л.с.), 1 группа грунтов / Filling pits and diking with soil movement up to 5 m using bulldozers with power: 59 (80) kW (hp), 1 group of soils</t>
  </si>
  <si>
    <t xml:space="preserve">Гидроизоляция боковая обмазочная битумная в 2 слоя </t>
  </si>
  <si>
    <t>Разработка грунта с погрузкой в автомобили-самосвалы экскаваторами типа "ATLAS", "VOLVO", "KOMATSU", "HITACHI", "LIEBHER" с ковшом вместимостью 1,0 (1-1,2) м3, группа грунтов: 2 / Soil development with loading into dump trucks using excavators such as "ATLAS", "VOLVO", "KOMATSU", "HITACHI", "LIEBHER" with a bucket with a capacity of 1.0 (1-1.2) m3, soil group: 2</t>
  </si>
  <si>
    <t>Устройство бетонной подготовки из бетона М75 / Concrete preparation device made of M75 concrete</t>
  </si>
  <si>
    <t>Ограждение ОГ-1 (L=3п.м). Lобщ.=128,3м=49шт / Fencing OG-1 (L=3p.m). Ltot.=128,3m= 49pcs</t>
  </si>
  <si>
    <t>Доработка грунта вручную, группа грунтов 1 / Manual modification of soil, soil group 1</t>
  </si>
  <si>
    <t>Разработка грунта с погрузкой в автомобили-самосвалы экскаваторами типа "ATLAS", "VOLVO", "KOMATSU", "HITACHI", "LIEBHER" с ковшом вместимостью 1,25 (1,25-1,5) м3, группа грунтов: 2 / Soil development with loading into dump trucks using excavators such as "ATLAS", "VOLVO", "KOMATSU", "HITACHI", "LIEBHER" with a bucket with a capacity of 1.25 (1.25-1.5) m3, soil group: 2</t>
  </si>
  <si>
    <t>Устройство бетонной подготовки из бетона М50 / Concrete preparation device made of M50 concrete</t>
  </si>
  <si>
    <t>Резервуар 50м3 / Reservoir 50m3</t>
  </si>
  <si>
    <t xml:space="preserve">Оборудование и материалы / Equipment </t>
  </si>
  <si>
    <t>Разработка грунта с погрузкой в автомобили-самосвалы экскаваторами типа "ATLAS", "VOLVO", "KOMATSU", "HITACHI", "LIEBHER" с ковшом вместимостью 1,0 (1-1,2) м3, группа грунтов: 3 / Soil development with loading into dump trucks using excavators such as "ATLAS", "VOLVO", "KOMATSU", "HITACHI", "LIEBHER" with a bucket with a capacity of 1.0 (1-1.2) m3, soil group: 3</t>
  </si>
  <si>
    <t>Вывоз  грунта  на расст. до 5 км на автомашине грузоподъемностью до 25 т, стоимость топлива 10,7 сомони / Removal of soil to a distance. up to 5 km in a vehicle with a carrying capacity of up to 25 tons, fuel cost 10.7 somoni</t>
  </si>
  <si>
    <t>Разработка грунта в отвал экскаваторами типа "ATLAS", "VOLVO", "KOMATSU", "HITACHI", "LIEBHER" с ковшом вместимостью 0,5 (0,5-0,63) м3, группа грунтов: 3 / Development of soil into a dump using excavators such as "ATLAS", "VOLVO", "KOMATSU", "HITACHI", "LIEBHER" with a bucket with a capacity of 0.5 (0.5-0.63) m3, soil group: 3</t>
  </si>
  <si>
    <t>Доработка грунта вручную, группа грунтов 2 / Manual modification of soil, soil group 2 / Manual modification of soil, soil group 2</t>
  </si>
  <si>
    <t>Погрузка песка / Sand loading</t>
  </si>
  <si>
    <t>Завоз  песка из  расст. до 15 км на автомашине грузоподъемностью до 25 т, стоимость топлива 10,7 сомони / Delivery of sand from the dist. up to 15 km in a vehicle with a carrying capacity of up to 25 tons, fuel cost 10.7 somoni</t>
  </si>
  <si>
    <t>Стоимость песок / Cost of sand</t>
  </si>
  <si>
    <t>Обратная засыпка песка вручную t=10см / Backfilling of sand manually t=10cm</t>
  </si>
  <si>
    <t>Засыпка боковая и защитный слой из песка / Side backfill and protective layer of sand</t>
  </si>
  <si>
    <t>Установка задвижек диаметром: 100 мм. Задвижка чуг. фланцевая с обрезиненым клином ∅100 / Installation of valves with diameter: 100 mm. Cast iron valve flanged with rubberized wedge ∅100</t>
  </si>
  <si>
    <t>Установка вентиль ПЭ ∅90 мм. Вентиль ПЭ ∅75 мм / Installation of PE valve ∅90 mm. PE valve ∅75 mm</t>
  </si>
  <si>
    <t>Установка вентиль ПЭ ∅75 мм / Installation of PE valve ∅75 mm</t>
  </si>
  <si>
    <t>Установка вентиль ПЭ ∅50 мм. Вентиль ПЭ ∅32 мм / Installation of PE valve ∅50 mm. PE valve ∅32 mm</t>
  </si>
  <si>
    <t>Установка вентиль ПЭ ∅40 мм. Вентиль ПЭ ∅32 мм / Installation of PE valve ∅40 mm. PE valve ∅32 mm</t>
  </si>
  <si>
    <t>Отвод ПЭ 90°, ∅20 / PE bend 90°, ∅20</t>
  </si>
  <si>
    <t>Отвод ПЭ 90°, ∅32 / PE bend 90°, ∅32</t>
  </si>
  <si>
    <t>Отвод ПЭ 90°, ∅40 / PE bend 90°, ∅40</t>
  </si>
  <si>
    <t>Отвод ПЭ 90°, ∅50 / PE bend 90°, ∅50</t>
  </si>
  <si>
    <t>Отвод ПЭ 90°, ∅75 / PE bend 90°, ∅75</t>
  </si>
  <si>
    <t>Отвод ПЭ 90°, ∅90 / PE bend 90°, ∅90</t>
  </si>
  <si>
    <t>Полуотвод ПЭ 45°, ∅32 / Half bend PE 45°, ∅32</t>
  </si>
  <si>
    <t>Полуотвод ПЭ 45°, ∅40 / Half bend PE 45°, ∅40</t>
  </si>
  <si>
    <t>Полуотвод ПЭ 45°, ∅50 / Half bend PE 45°, ∅50</t>
  </si>
  <si>
    <t>Полуотвод ПЭ 45°, ∅63 / Half bend PE 45°, ∅63</t>
  </si>
  <si>
    <t>Полуотвод ПЭ 45°, ∅75 / Half bend PE 45°, ∅75</t>
  </si>
  <si>
    <t>Полуотвод ПЭ 45°, ∅90 / Half bend PE 45°, ∅90</t>
  </si>
  <si>
    <t>Отвод ПЭ 15°, ∅90 / PE bend 15°, ∅90</t>
  </si>
  <si>
    <t>Отвод ПЭ 60°, ∅110 / PE bend 603°, ∅110</t>
  </si>
  <si>
    <t>Отвод ПЭ 15°, ∅110 / PE bend 15°, ∅110</t>
  </si>
  <si>
    <t>Отвод ПЭ 15°, ∅140 / PE bend 15°, ∅140</t>
  </si>
  <si>
    <t>Отвод ПЭ 30°, ∅140 / PE bend 30°, ∅140</t>
  </si>
  <si>
    <t>Переход ПЭ ∅25x20 / Transition PE ∅25x20</t>
  </si>
  <si>
    <t>Переход ПЭ ∅32x25 / Transition PE ∅32x25</t>
  </si>
  <si>
    <t>Переход ПЭ ∅40x32 / Transition PE ∅40x32</t>
  </si>
  <si>
    <t>Переход ПЭ ∅50x40 / Transition PE ∅50x40</t>
  </si>
  <si>
    <t>Переход ПЭ ∅75x40 / Transition PE ∅75x40</t>
  </si>
  <si>
    <t>Переход ПЭ ∅75x63 / Transition PE ∅75x63</t>
  </si>
  <si>
    <t>Переход ПЭ ∅90x75 / Transition PE ∅90x75</t>
  </si>
  <si>
    <t>Переход ПЭ ∅110x75 / Transition PE ∅110x75</t>
  </si>
  <si>
    <t>Переход ПЭ ∅110x90 / Transition PE ∅110x90</t>
  </si>
  <si>
    <t>Переход ПЭ ∅140х110 / Transition PE ∅140x110</t>
  </si>
  <si>
    <t>Втулка под фланец ∅110 / Sleeve for flange ∅110</t>
  </si>
  <si>
    <t>Тройник ПЭ ∅25x20 / PE tee ∅25x20</t>
  </si>
  <si>
    <t>Тройник ПЭ ∅32x20 / PE tee ∅32x20</t>
  </si>
  <si>
    <t>Тройник ПЭ ∅32x25 / PE tee ∅32x25</t>
  </si>
  <si>
    <t>Тройник ПЭ ∅40x20 / PE tee ∅40x20</t>
  </si>
  <si>
    <t>Тройник ПЭ ∅40x25 / PE tee ∅40x25</t>
  </si>
  <si>
    <t>Тройник ПЭ ∅40x32 / PE tee ∅40x32</t>
  </si>
  <si>
    <t>Тройник ПЭ ∅50x20 / PE tee ∅50x20</t>
  </si>
  <si>
    <t>Тройник ПЭ ∅50x32 / PE tee ∅50x32</t>
  </si>
  <si>
    <t>Тройник ПЭ ∅50x40 / PE tee ∅50x40</t>
  </si>
  <si>
    <t>Тройник ПЭ ∅63x32 / PE tee ∅63x32</t>
  </si>
  <si>
    <t>Тройник ПЭ ∅63x40 / PE tee ∅63x40</t>
  </si>
  <si>
    <t>Тройник ПЭ ∅75x32 / PE tee ∅75x32</t>
  </si>
  <si>
    <t>Тройник ПЭ ∅75x40 / PE tee ∅75x40</t>
  </si>
  <si>
    <t>Тройник ПЭ ∅75x75 / PE tee ∅75x75</t>
  </si>
  <si>
    <t>Тройник ПЭ ∅90x40 / PE tee ∅90x40</t>
  </si>
  <si>
    <t>Тройник ПЭ ∅90x90 / PE tee ∅90x90</t>
  </si>
  <si>
    <t>Тройник ПЭ ∅110x50 / PE tee ∅110x50</t>
  </si>
  <si>
    <t>Тройник ПЭ ∅110x63 / PE tee ∅110x63</t>
  </si>
  <si>
    <t>Тройник ПЭ ∅110x110 / PE tee ∅110x110</t>
  </si>
  <si>
    <t>Тройник ПЭ ∅140x110 / PE tee ∅140x110</t>
  </si>
  <si>
    <t>Приварка фланец ст. свободный ∅100 мм / Welding flange st. free ∅100 mm</t>
  </si>
  <si>
    <t>Укладка труба ПЭ100, SDR 17, Py=1.0мПа ∅20 мм / Laying pipe PE100, SDR 17, Py=1.0 mPa ∅20 mm</t>
  </si>
  <si>
    <t>Укладка труба ПЭ100, SDR 17, Py=1.0мПа ∅25 мм / Laying pipe PE100, SDR 17, Py=1.0 mPa ∅25 mm</t>
  </si>
  <si>
    <t>Укладка труба ПЭ100, SDR 17, Py=1.0мПа ∅32 мм / Laying pipe PE100, SDR 17, Py=1.0 mPa ∅32 mm</t>
  </si>
  <si>
    <t>Укладка труба ПЭ100, SDR 17, Py=1.0мПа ∅40 мм / Laying pipe PE100, SDR 17, Py=1.0 mPa ∅40 mm</t>
  </si>
  <si>
    <t>Укладка труба ПЭ100, SDR 17, Py=0.63мПа ∅63 мм / Laying pipe PE100, SDR 17, Py=0.63 mPa ∅63 mm</t>
  </si>
  <si>
    <t>Укладка труба ПЭ100, SDR 17, Py=0.63мПа ∅75 мм / Laying pipe PE100, SDR 17, Py=0.63 mPa ∅75 mm</t>
  </si>
  <si>
    <t>Укладка труба ПЭ100, SDR 26, Py=0.63мПа ∅90 мм / Laying pipe PE100, SDR 26, Py=0.63 mPa ∅90 mm</t>
  </si>
  <si>
    <t>Укладка труба ПЭ100, SDR 17, Py=0.63мПа ∅110 мм / Laying pipe PE100, SDR 17, Py=0.63 mPa ∅110 mm</t>
  </si>
  <si>
    <t>Укладка труба ПЭ100, SDR 17, Py=0.63мПа ∅140 мм / Laying pipe PE100, SDR 17, Py=0.63 mPa ∅140 mm</t>
  </si>
  <si>
    <t>Установка задвижек диаметром: 80 мм. Задвижка чуг. фланцевая с обрезиненым клином ∅80 / Installation of valves with diameter: 80 mm. Cast iron valve flanged with rubber wedge ∅80</t>
  </si>
  <si>
    <t>Установка вентиль ПЭ ∅32 мм / Installation of PE valve ∅32 mm</t>
  </si>
  <si>
    <t>Тройник ПЭ ∅25х20 / PE tee ∅25x20</t>
  </si>
  <si>
    <t>Тройник ПЭ ∅25х25 / PE tee ∅25x25</t>
  </si>
  <si>
    <t>Тройник ПЭ ∅32х20 / PE tee ∅32x20</t>
  </si>
  <si>
    <t>Тройник ПЭ ∅40х20 / PE tee ∅40x20</t>
  </si>
  <si>
    <t>Тройник ПЭ ∅40х25 / PE tee ∅40x25</t>
  </si>
  <si>
    <t>Тройник ПЭ ∅40х32 / PE tee ∅40x32</t>
  </si>
  <si>
    <t>Тройник ПЭ ∅40х40 / PE tee ∅40x40</t>
  </si>
  <si>
    <t>Тройник ПЭ ∅50х32 / PE tee ∅50x32</t>
  </si>
  <si>
    <t>Тройник ПЭ ∅63х40 / PE tee ∅63x40</t>
  </si>
  <si>
    <t>Тройник ПЭ ∅75х40 / PE tee ∅75x40</t>
  </si>
  <si>
    <t>Тройник ПЭ ∅90х40 / PE tee ∅90x40</t>
  </si>
  <si>
    <t>Тройник ПЭ ∅90х90 / PE tee ∅90x90</t>
  </si>
  <si>
    <t>Переход ПЭ ∅75х63 / Installation of polyethylene fittings: bends, elbows, pipes, transitions</t>
  </si>
  <si>
    <t>Отвод ПЭ 90°, ∅25 / PE bend 90°, ∅25</t>
  </si>
  <si>
    <t>Переход ПЭ ∅25х20 / Transition PE ∅25x20</t>
  </si>
  <si>
    <t>Переход ПЭ ∅32х25 / Transition PE ∅32x25</t>
  </si>
  <si>
    <t>Переход ПЭ ∅40х32 / Transition PE ∅40x32</t>
  </si>
  <si>
    <t>Переход ПЭ ∅50х40 / Transition PE ∅540x40</t>
  </si>
  <si>
    <t>Переход ПЭ ∅63х50 / Transition PE ∅63x50</t>
  </si>
  <si>
    <t>Переход ПЭ ∅90х75 / Transition PE ∅90x75</t>
  </si>
  <si>
    <t>Водопровод 2 / Plumbing 2</t>
  </si>
  <si>
    <t>Укладка труба ПЭ100, SDR 17, Py=0.63мПа ∅50 мм / Laying pipe PE100, SDR 17, Py=0.63 mPa ∅50 mm</t>
  </si>
  <si>
    <t>Укладка стальных водопроводных труб с гидравлическим испытанием диаметром: 159х4 мм / Laying steel water pipes with hydraulic testing with diameter: 159x4 mm</t>
  </si>
  <si>
    <t>Укладка стальных водопроводных труб с гидравлическим испытанием диаметром: 219х4 мм / Laying steel water pipes with hydraulic testing with diameter: 219x4 mm</t>
  </si>
  <si>
    <t>Теплоизоляция из минеральной ваты t=25мм / Thermal insulation made of mineral wool t=25mm</t>
  </si>
  <si>
    <t>Хомут на трубу D150 мм / Clamp for pipe D150 mm</t>
  </si>
  <si>
    <t>Хомут на трубу D200 мм / Clamp for pipe D200 mm</t>
  </si>
  <si>
    <t>Нанесение нормальной антикоррозионной битумно-резиновой или битумно-полимерной изоляции на стальные трубопроводы ∅159x6 мм / Application of normal anti-corrosion bitumen-rubber or bitumen-polymer insulation on steel pipelines ∅159x6 mm</t>
  </si>
  <si>
    <t>Укладка труба ПЭ100, SDR 17, Py=1.00мПа, ∅160 мм / Laying pipe PE100, SDR 17, Py=1.00 mPa, ∅160 mm</t>
  </si>
  <si>
    <t>Укладка труба ПЭ100, SDR 17, Py=1.00мПа, ∅90 мм / Laying pipe PE100, SDR 17, Py=1.00 mPa, ∅90 mm</t>
  </si>
  <si>
    <t>Укладка стальных труба электросварная прямошевная ∅159x6 мм / Laying straight-seam electric-welded steel pipes ∅159x6 mm</t>
  </si>
  <si>
    <t>Установка задвижек диаметром: 150 мм / Installation of valves with diameter: 150 mm</t>
  </si>
  <si>
    <t>Установка клапан обратный поворотный дисковый ∅150 мм / Installation of check valve rotary disk ∅150 mm</t>
  </si>
  <si>
    <t>Установка тройник ПЭ ∅160х160 мм / Installation of PE tee ∅160x160 mm</t>
  </si>
  <si>
    <t>Переход ПЭ ∅160x90 ммм /Transition PE ∅160x90 mmm</t>
  </si>
  <si>
    <t>Отвод стальной приварной, 90° ∅150 мм / Steel welded elbow, 90° ∅150 mm</t>
  </si>
  <si>
    <t>Отвод стальной приварной, 60° ∅150 мм / Steel welded elbow, 60° ∅150 mm</t>
  </si>
  <si>
    <t>Отвод стальной приварной, 30° ∅150 мм / Steel welded elbow, 30° ∅150 mm</t>
  </si>
  <si>
    <t>Отвод стальной приварной, 15° ∅150 мм / Steel welded elbow, 15° ∅150 mm</t>
  </si>
  <si>
    <t>Отвод ПЭ 90° ∅90 мм / PE bend 90° ∅90 mm</t>
  </si>
  <si>
    <t>Отвод ПЭ 45° ∅160 мм / PE bend 45° ∅160 mm</t>
  </si>
  <si>
    <t>Отвод ПЭ 90° ∅160 мм / PE bend 90° ∅160 mm</t>
  </si>
  <si>
    <t>Втулка под фланец ∅90 мм / Sleeve for flange ∅90 mm</t>
  </si>
  <si>
    <t>Втулка под фланец ∅160 мм / Sleeve for flange ∅160 mm</t>
  </si>
  <si>
    <t>Колодец 1000х1000х1500 (общ. 6шт) / Well 1000x1000x1500 (total 6 pieces)</t>
  </si>
  <si>
    <t>Колодец 1500х1500х1800 (общ. 2шт) / Well 1500x1500x1800 (total 2 pieces)</t>
  </si>
  <si>
    <t>Устройство фундаментов под сетчатое 
на металлических стойках из бетоа М200 / Construction of foundations for mesh on metal stands made of Betoa M200</t>
  </si>
  <si>
    <t>Уголок 50х32х4,0 мм L=2820 мм / Corner 50x32x4.0 mm L=2820 mm</t>
  </si>
  <si>
    <t>Уголок 50х32х4,0 мм L=2000 мм / Corner 50x32x4.0 mm L=2000 mm</t>
  </si>
  <si>
    <t>Уголок 50х32х4,0 мм L=500 мм / Corner 50x32x4.0 mm L=500 mm</t>
  </si>
  <si>
    <t>МС-1, Уголок / MS-1, Corner</t>
  </si>
  <si>
    <t>МС-2, Полоса / MS-2, Strip</t>
  </si>
  <si>
    <t>Сетка  50-3,0 / Mesh 50-3.0</t>
  </si>
  <si>
    <t>Прокат стальной горячекатанный  круглый ∅6мм L=2820 мм / Hot-rolled round steel ∅6mm L=2820 mm</t>
  </si>
  <si>
    <t>Прокат стальной горячекатанный  круглый ∅6мм L=2000 мм / Hot-rolled round steel ∅6mm L=2000 mm</t>
  </si>
  <si>
    <t>Стальной труба ∅76х3,5мм L=2950 мм / Steel pipe ∅76x3.5mm L=2950 mm</t>
  </si>
  <si>
    <t>Колючая проволока  ∅4мм  L=3000мм / Barbed wire ∅4mm L=3000mm</t>
  </si>
  <si>
    <t>Устройство фундаментов под сетчатое на металлических стойках из бетоа М200 / Construction of foundations for mesh on metal stands made of Betoa M200</t>
  </si>
  <si>
    <t>Армирование подстилающих слоев и набетонок / Reinforcement of underlying layers and concrete</t>
  </si>
  <si>
    <t>Уголок 50х32х4,0 мм L=1460 мм / Corner 50x32x4.0 mm L=1460 mm</t>
  </si>
  <si>
    <t>Уголок 50х32х4,0 мм L=2500 мм / Corner 50x32x4.0 mm L=2500 mm</t>
  </si>
  <si>
    <t>Прокат стальной горячекатанный  круглый ∅6мм L1460 мм / Hot rolled steel round ∅6mm L1460 mm</t>
  </si>
  <si>
    <t>Колючая проволока  ∅4мм  L=1460мм / Barbed wire ∅4mm L=1460mm</t>
  </si>
  <si>
    <t>Петли для  ворот ∅24х110 / Hinges for gates ∅24x110</t>
  </si>
  <si>
    <t>Водопровод В1 / Water supply W1</t>
  </si>
  <si>
    <t>Установка фасонных частей: отводов, колен, патрубков, переходов / Installation of fittings: bends, elbows, pipes, transitions</t>
  </si>
  <si>
    <t>Отвод ст. приварной  90°, ∅150 мм / Recusal of Art. welded 90°, ∅150 mm</t>
  </si>
  <si>
    <t>Отвод ст. приварной  60°, ∅150 мм / Recusal of Art. welded 60°, ∅150 mm</t>
  </si>
  <si>
    <t>Отвод ПЭ 90°, ∅32 мм / PE bend 90°, ∅32 mm</t>
  </si>
  <si>
    <t>Нанесение нормальной антикоррозионной битумно-резиновой или битумно-полимерной изоляции на стальные трубопроводы диаметром: 159x7 мм / Application of normal anti-corrosion bitumen-rubber or bitumen-polymer insulation on steel pipelines with a diameter of 159x7 mm</t>
  </si>
  <si>
    <t>Укладка стальных водопроводных труб с гидравлическим испытанием диаметром: 159x7 мм / Laying steel water pipes with hydraulic testing, diameter: 159x7 mm</t>
  </si>
  <si>
    <t>Рытьё траншеи типа Т-1 и Т-3 ручным способом для прокладки кабеля / Digging a trench type T-1 and T-3 manually for laying cables</t>
  </si>
  <si>
    <t>Постел песка для прокладки кабеля в траншее типа  Т-1 и Т-3 / A bed of sand for laying cables in trenches of types T-1 and T-3</t>
  </si>
  <si>
    <t>Обратная засыпка вручная в траншее типа Т-1 и Т-3 / Manual backfilling in trenches type T-1 and T-3</t>
  </si>
  <si>
    <t>Установка металлические декоративные опоры типа ОД-1, высотой 4м / Installation of metal decorative supports type OD-1, 4m high</t>
  </si>
  <si>
    <t>Завоз песок автотранспортом на расс. 15км / Delivery of sand by motor transport to the settlement. 15km</t>
  </si>
  <si>
    <t>Отвозка лишнего грунта на расстояние 5км / Transporting excess soil over a distance of 5 km</t>
  </si>
  <si>
    <t>Рытьё траншеи ручным способом для установки опоры освещение / Digging a trench manually to install a lighting support</t>
  </si>
  <si>
    <t>Установка светильников типа HP (1ЕК)мощностъю 65 Вт на металлические опоры / Installation of lamps type HP (1EK) with a power of 65 W on metal supports</t>
  </si>
  <si>
    <t>Лампа светодиодная, мощностью 65 Вт / LED lamp, power 65 W</t>
  </si>
  <si>
    <t>Прокладка кабеля АВВГ-5х16мм2 в траншее / Laying AVVG-5x16mm2 cable in a trench</t>
  </si>
  <si>
    <t>Прокладка кабеля АВВГ-Зх2,5мм2 в траншее / Laying AVVG-3x2.5mm2 cable in a trench</t>
  </si>
  <si>
    <t>Прокладка кабеля ВВГ-Зх2,5мм2 скрыто, под слоем штукатурки / Laying the VVG-Zx2.5mm2 cable hidden, under a layer of plaster</t>
  </si>
  <si>
    <t>Провод с медными жилами, сечением ППВ 2x2,5 мм2 / Wire with copper conductors, cross-section PPV 2x2.5 mm2</t>
  </si>
  <si>
    <t>Установка и монтаж монтажного коробка типа VIKO / Installation and installation of VIKO type mounting box</t>
  </si>
  <si>
    <t>Установка и монтаж автоматического выключателя, марки IEK на 16А на ЩО / Installation and installation of a circuit breaker, brand IEK for 16A at ShchO</t>
  </si>
  <si>
    <t>Прокладка сигнальная лента ЛС-150 над песка / Laying warning tape LS-150 over sand</t>
  </si>
  <si>
    <t>Внутренное электроосвещение / Internal electric lighting</t>
  </si>
  <si>
    <t>Силовые и осветительные шит / Power and lighting shield</t>
  </si>
  <si>
    <t>Ящик осветительнный с пакетным выключателем ПВ3-25 навводе и 3автоматовАЕ1031-1наотходящихгруппах, с Iрасц=3х16А / Lighting box with package switch PV3-25 in the input and 3 automatic circuit breakers AE1031-1 in outgoing groups, with Irast = 3x16A</t>
  </si>
  <si>
    <t>Светодиодные светильники , со степенью защиты IP66 мощностью 1х24Вт ДСО 05-24-50 / LED lamps, with degree of protection IP66, power 1x24W DSO 05-24-50</t>
  </si>
  <si>
    <t>Светодиодныесветильники, состепеньюзащитыIP656 мощностью1х18Вт ДСО 05-18-50 / LED lamps, with protection level IP656, power 1x18W DSO 05-18-50</t>
  </si>
  <si>
    <t>Кабель с медной жилой с поливинилхлоридной изоляцией сеч. 3х1,5м ВВГнг / Cable with copper core and polyvinyl chloride insulation, cross-section. 3x1.5m VVGng</t>
  </si>
  <si>
    <t>Кабель смедной жилой с поливинилхлоридной изоляцией сеч. 3х2,5мм² / Cable with copper core and polyvinyl chloride insulation, cross-section. 3x2.5m VVGng</t>
  </si>
  <si>
    <t>Установочные изделия / Installation products</t>
  </si>
  <si>
    <t>Установка выключател одноклавишный для открытой установки 10А, 250В / Installation single-key switch for open installation 10A, 250V</t>
  </si>
  <si>
    <t>Установка розетка одинарная с защитным контактом открытой установки 16А / Installation single socket with protective contact for open installation 16A</t>
  </si>
  <si>
    <t>Монтажные коробки для открытой установки с повышенной степенью защиты / Mounting boxes for surface installation with increased degree of protection</t>
  </si>
  <si>
    <t>Коробка для уплотненной установки вык-лей и штепсельных розеток / Box for sealed installation of switches and sockets</t>
  </si>
  <si>
    <t>Труба гофрированная ПНД черная с зондом Ø16мм / Black HDPE corrugated pipe with probe Ø16mm</t>
  </si>
  <si>
    <t>Силовое электрооборудование / Power equipment</t>
  </si>
  <si>
    <t>Шкаф ввода, учета и распределения электроэнергия на 2 отходящих групп с Iн=1х16А, номинальный ток шкафа 63А / Cabinet for input, metering and distribution of electricity into 2 outgoing groups with In = 1x16A, rated current of the cabinet 63A</t>
  </si>
  <si>
    <t>Станция управления скважинными насосами HMS CONTROL L3 / Well pump control station HMS CONTROL L3</t>
  </si>
  <si>
    <t>Кабель с медной жилой с ПВХ изоляцией сеч. 5х2,5мм² (пониженной горючести) ВВГнг / Cable with copper core and PVC insulation, cross-section. 5x2.5mm² (low flammability) VVGng</t>
  </si>
  <si>
    <t>то же сечением 5х10мм² ВВГнг / the same with a section of 5x10mm² VVGng</t>
  </si>
  <si>
    <t>Труба гладкая жесткая ПНД Ø25мм / Smooth hard HDPE pipe Ø25mm</t>
  </si>
  <si>
    <t>Труба гладкая жесткая ПНД Ø40мм / Smooth hard HDPE pipe Ø40mm</t>
  </si>
  <si>
    <t>Прокат черного метала / Ferrous metal rental</t>
  </si>
  <si>
    <t>Заземлитель горизонтальный из стали полосовой сечением 160 мм2 / Horizontal grounding conductor made of steel strip with a cross-section of 160 mm2</t>
  </si>
  <si>
    <t>Заземлитель горизонтальный из стали круглой диаметром 12 мм / Horizontal grounding rod made of round steel with a diameter of 12 mm</t>
  </si>
  <si>
    <t>Обшестроительное Контенер (3х2,44) / General construction Container (3x2.44)</t>
  </si>
  <si>
    <t>Разработка грунта вручную в траншеях, группа грунтов: 2 / Excavation of soil manually in trenches, soil group: 2</t>
  </si>
  <si>
    <t>Устройство фундаментов под контенера. Бетон М200 / Construction of foundations for containers. Concrete M200</t>
  </si>
  <si>
    <t>Устройство: бетонных ступеней. Бетон М200 / Construction: concrete steps. Concrete M200</t>
  </si>
  <si>
    <t>Установка блоков (контейнеров) / Installation of blocks (containers)</t>
  </si>
  <si>
    <t>Вата минеральная / Mineral wool</t>
  </si>
  <si>
    <t>Установка алюминевых окные блоков / Installation of aluminum window blocks</t>
  </si>
  <si>
    <t>Потолки / Ceilings</t>
  </si>
  <si>
    <t>Изоляция изделиями юниспан / Insulation with unispan products</t>
  </si>
  <si>
    <t>Изготовленные и монтаж профильные трубы. Профиль 40х20х2мм / Manufactured and installed profile pipes. Profile 40x20x2mm</t>
  </si>
  <si>
    <t>Обшивка потолков из вагонка / Cladding of ceilings from lining</t>
  </si>
  <si>
    <t>Изоляция изделиями из пенопласта юниспан / Insulation with unispan foam products</t>
  </si>
  <si>
    <t>Изготовленные и монтаж  профильные трубы. Профиль 40х20х2мм / Manufactured and installed profile pipes. Profile 40x20x2mm</t>
  </si>
  <si>
    <t>Изоляция изделиями из пенопласта: стен / Insulation with foam plastic products: walls</t>
  </si>
  <si>
    <t>Обшивка каркасных стен из вагонки / Covering frame walls from lining</t>
  </si>
  <si>
    <t>Устройство мелких покрытий (брандмауэры, парапеты, свесы и т.п.) из листовой оцинкованной стали / Installation of small coverings (firewalls, parapets, overhangs, etc.) from galvanized sheet steel</t>
  </si>
  <si>
    <t>Полы насосной / Pump room floors</t>
  </si>
  <si>
    <t>Устройство теплоизоляционный слой из пеноплэкс 30 мм / Installation of a thermal insulation layer made of 30 mm Penoplex</t>
  </si>
  <si>
    <t>Устройство подстилающих слоев бетонных. Бетон тяжелый М:200 / Construction of underlying concrete layers. Heavy concrete M:200</t>
  </si>
  <si>
    <t>Наружняя отделка / Exterior decoration</t>
  </si>
  <si>
    <t>Масляная окраска металлических поверхностей, количество окрасок 2 / Oil painting of metal surfaces, number of colors 2</t>
  </si>
  <si>
    <t>Упор / Emphasis</t>
  </si>
  <si>
    <t>Установка люка контенера / Container hatch installation</t>
  </si>
  <si>
    <t>Пластин / Plastin</t>
  </si>
  <si>
    <t>Пенопласт / Styrofoam</t>
  </si>
  <si>
    <t>Спецификация оборудования и материалы В1 / Specification of equipment and materials W1</t>
  </si>
  <si>
    <t>Установка насос погружной скважинный насос Q=30м3/час Н=184м. SJ 30-25 / Installation of submersible well pump Q=30m3/hour H=184m. SJ 30-25</t>
  </si>
  <si>
    <t>Установка счетчиков (водомеров) диаметром: до 100 мм / Installation of meters (water meters) with diameter: up to 100 mm</t>
  </si>
  <si>
    <t>Устройство оголовков / Head arrangement</t>
  </si>
  <si>
    <t>Установка: вантузов / Installation: plungers</t>
  </si>
  <si>
    <t>Установка клапанов обратных Д=100 мм / Installation of check valves D=100 mm</t>
  </si>
  <si>
    <t>Установка задвижек Д=100 мм. Задвижка чугунная фланцевая, с обрезиненым клином и антикоррозионным порошковым эпоксидным покрытием Д=100  Ру=1,6МПа. Фланец стальной приварной Д=100 мм  Ру=1,6МПа=3шт / Installation of valves D=100 mm. Cast iron flanged valve, with a rubberized wedge and anti-corrosion epoxy powder coating D=100 Ru=1.6 MPa. Welded steel flange D=100 mm Ru=1.6MPa=3pcs</t>
  </si>
  <si>
    <t>Установка задвижка чугунная фланцевая, с обрезиненым клином и антикоррозионным порошковым эпоксидным покрытием Д=80 мм  Ру=1,6МПа=100-200 / Cast iron flanged valve installation, with a rubberized wedge and anti-corrosion epoxy powder coating D=80 mm Ru=1.6MPa=100-200</t>
  </si>
  <si>
    <t>Установка задвижек Д=50 мм. Задвижка чугунная фланцевая, с обрезиненым клином и антикоррозионным порошковым эпоксидным покрытием Д=50 мм Ру=1,6МПа / Installation of valves D=50 mm. Cast iron flanged valve, with rubber-coated wedge and anti-corrosion epoxy powder coating D=50 mm Ru=1.6 MPa</t>
  </si>
  <si>
    <t>Прокладка трубопроводов  водоснабжения из стальных электросварных труб диаметром: 159 мм / Laying water supply pipelines from steel electric-welded pipes with a diameter of 159 mm</t>
  </si>
  <si>
    <t>Отвод ст. 90°  Д=150 мм / Recusal of Art. 90° L=150 mm</t>
  </si>
  <si>
    <t>Переход ст. приварной Д=150x100 мм / Transition Art. welded D=150x100 mm</t>
  </si>
  <si>
    <t>Прокладка трубопроводов  и водоснабжения из стальных электросварных труб диаметром: 108 мм / Laying pipelines and water supply from steel electric-welded pipes with a diameter of 108 mm</t>
  </si>
  <si>
    <t>Отвод ст. 90°  Д=100 мм / Recusal of Art. 90° L=100 mm</t>
  </si>
  <si>
    <t>Прокладка трубопроводов  водоснабжения из стальных электросварных труб диаметром: 89 мм / Laying water supply pipelines from steel electric-welded pipes with a diameter of 89 mm</t>
  </si>
  <si>
    <t>Отвод ст. 90°  Д=80 мм / Recusal of Art. 90° L=80 mm</t>
  </si>
  <si>
    <t>Прокладка труб водоподъемные стальные Д=114х7 мм. Трубы водоподъемные стальные соединение фланцевое (в комплекте с фланцами) Д=114х7 мм / Laying water-lifting steel pipes D=114x7 mm. Water-lifting steel pipes flange connection (complete with flanges) D=114x7 mm</t>
  </si>
  <si>
    <t>Прокладка трубопроводов водоснабжения из стальных водогазопроводных оцинкованных труб диаметром: 15 мм / Laying water supply pipelines from galvanized steel water and gas pipes with a diameter of 15 mm</t>
  </si>
  <si>
    <t>Окраска стальных труб и фосонных частей за два раза / Painting steel pipes and fittings in two times</t>
  </si>
  <si>
    <t>Теплоизоляция труб  из мин.ваты / Thermal insulation of mineral wool pipes</t>
  </si>
  <si>
    <t>Устройство фундаментов под сетчатое на металлических стойках из бетоа М200 / Construction of foundations for meshк on metal stands made of Betoa M200</t>
  </si>
  <si>
    <t>Устройство фундаментов под сетчатое на металлических стойках из бетоа М200 / Construction of foundations for mesh
on metal stands made of Betoa M200</t>
  </si>
  <si>
    <t>Разработка грунта в отвал в котлованах объемом до 1000 м3 экскаваторами с ковшом вместимостью 0,5 (0,5 - 0,63) м3, группа грунтов: 2 / Development of soil into a dump in pits with a volume of up to 1000 m3 using excavators with a bucket with a capacity of 0.5 (0.5 - 0.63) m3, soil group: 2</t>
  </si>
  <si>
    <t>Погрузка грунта вручную на автомобили-самосвалы с выгрузкой / Loading soil manually onto dump trucks with unloading</t>
  </si>
  <si>
    <t>Установка задвижек диаметром: 150 мм. Задвижка чуг. фланцевая с обрезиненым клином Ру=0.6МПа, 30ч39р ∅150 мм / Installation of valves with diameter: 150 mm. Cast iron valve flanged with rubberized wedge Ru=0.6MPa, 30х39р ∅150 mm</t>
  </si>
  <si>
    <t>Приварка фланцев к стальным трубопроводам диаметром: 150 мм. Фланец ст. приварной ∅150мм Ру=0.6МПа / Welding of flanges to steel pipelines with a diameter of 150 mm. Flange st. welded ∅150mm Ru=0.6MPa</t>
  </si>
  <si>
    <t>Приварка фланцев к стальным трубопроводам диаметром: 80 мм. Фланец ст. приварной ∅80мм Ру=0.6МПа / Welding of flanges to steel pipelines with a diameter of 80 mm. Flange st. welded ∅80mm Ru=0.6MPa</t>
  </si>
  <si>
    <t>Нанесение нормальной антикоррозионной битумно-резиновой или битумно-полимерной изоляции на стальные трубопроводы диаметром: 159x4 мм / Application of normal anti-corrosion bitumen-rubber or bitumen-polymer insulation on steel pipelines with a diameter of 159x4 mm</t>
  </si>
  <si>
    <t>Укладка стальных водопроводных труб с гидравлическим испытанием диаметром: 159x4 мм / Laying steel water pipes with hydraulic testing, diameter: 159x4 mm</t>
  </si>
  <si>
    <t>Фтулка под фланец ∅140 мм / Flange fitting ∅140 mm</t>
  </si>
  <si>
    <t>Отвод ст. приварной  90°, ∅150 мм / Recusal of st. welded 90°, ∅150 mm</t>
  </si>
  <si>
    <t>Укладка трубопроводов из полиэтиленовых труб диаметром: 160 мм. Труба ПЭ SDR26, ∅160 мм / Laying pipelines from polyethylene pipes with a diameter of 160 mm. PE pipe SDR26, ∅160 mm</t>
  </si>
  <si>
    <t>Промывка с дезинфекцией трубопроводов диаметром: 160 мм / Washing and disinfection of pipelines with diameter: 160 mm</t>
  </si>
  <si>
    <t>Установка задвижек диаметром: 100 мм. Задвижка чуг. фланцевая с обрезиненым клином Ру=0.6МПа, 30ч39р ∅100 мм / Installation of valves with diameter: 100 mm. Cast iron valve flanged with rubberized wedge Ru=0.6MPa, 30ch39r ∅100 mm</t>
  </si>
  <si>
    <t xml:space="preserve">Приварка фланцев к стальным трубопроводам диаметром: 100 мм. Фланец ст. приварной ∅100мм Ру=0.6МПа / Welding of flanges to steel pipelines with a diameter of 100 mm. Flange Art. welded ∅100mm Ru=0.6MPa </t>
  </si>
  <si>
    <t>Нанесение нормальной антикоррозионной битумно-резиновой или битумно-полимерной изоляции на стальные трубопроводы диаметром: 108х4 мм / Application of normal anti-corrosion bitumen-rubber or bitumen-polymer insulation on steel pipelines with a diameter of 108x4 mm</t>
  </si>
  <si>
    <t>Укладка трубопроводов из полиэтиленовых труб диаметром: 160 мм. Труба ПЭ100 SDR26, Д=160 мм / Laying pipelines from polyethylene pipes with a diameter of 160 mm. Pipe PE100 SDR26, D=160 mm</t>
  </si>
  <si>
    <t>Отдельный стержень Ос-1. Арматура д-12 А3 / Separate rod Os-1. Armature d-12 A3</t>
  </si>
  <si>
    <t>Устройство фундаментных плит железобетонных: плоских. Бетон В 25 М:350 / Construction of reinforced concrete foundation slabs: flat. Concrete B 25 M: 350</t>
  </si>
  <si>
    <t>Стены / Walls</t>
  </si>
  <si>
    <t>Устройство стен Стм-1: бетонных (4шт). Бетон В 25 М:350 / Construction of STM-1 walls: concrete (4 pcs). Concrete B 25 M: 350</t>
  </si>
  <si>
    <t>Стремянка / Ladder</t>
  </si>
  <si>
    <t>Огрунтовка поверхностей за один раз грунтовкой ГФ-021 / Priming surfaces at one time with primer GF-021</t>
  </si>
  <si>
    <t>Перекрытие / Overlap</t>
  </si>
  <si>
    <t>Наружное электроснабжение / Outdoor power supply</t>
  </si>
  <si>
    <t>Рытьё траншеи типа Т-2 ручным способом для прокладки кабеля /  Digging a T-2 type trench manually for cable laying</t>
  </si>
  <si>
    <t>Постел песка для прокладки кабеля в траншее типа / Bed of sand for laying cables in trench type</t>
  </si>
  <si>
    <t>Обратная засыпка вручная в траншее / Backfilling by hand in a trench</t>
  </si>
  <si>
    <t>Погрузка вручную неуплотненного грунта из штабелей и отвалов в транспортные средства, группа грунтов: 1 / Manual loading of uncompacted soil from stacks and dumps into vehicles, soil group: 1</t>
  </si>
  <si>
    <t>Прокладка кабеля АВВГ-Зх2,5мм2 в траншее / Laying the AVVG-Zx2.5mm2 cable in a trench</t>
  </si>
  <si>
    <t>Прокладка кабеля АВВГ-5х4мм2 в траншее / Laying AVVG-5x4mm2 cable in a trench</t>
  </si>
  <si>
    <t>Разработка грунта с перемещением до 10 м бульдозерами мощностью: 59 (80) кВт (л.с.), 2 группа грунтов / Development of soil with movement of up to 10 m using bulldozers with power: 59 (80) kW (hp), 2 group of soils</t>
  </si>
  <si>
    <t>Обваловка / Embankment</t>
  </si>
  <si>
    <t>Оштукатуривание цементно-церезитовая по полу резервуара /  Plastering cement-ceresite on the floor of the tank</t>
  </si>
  <si>
    <t>Устройство стяжек цементных толщиной 20 мм. Раствор готовый кладочный тяжелый цементный М:100 / Installation of cement screeds 20 mm thick. Ready-made heavy cement masonry mortar M: 100</t>
  </si>
  <si>
    <t>Устройство Water-stop вокруг резервуара h=30 см / Water-stop device around the tank h=30 cm</t>
  </si>
  <si>
    <t>Устройство цементно-песчаного раствора В 7,5 для создания уклона на днище. Раствор готовый кладочный тяжелый цементный М:100 / Installation of cement-sand mortar B 7.5 to create a slope on the bottom. Ready-made heavy cement masonry mortar M: 100</t>
  </si>
  <si>
    <t>Устройство  стен Стм-1: бетонных. Бетон В 25 М:350 / Construction of walls STM-1: concrete. Concrete B 25 M: 350</t>
  </si>
  <si>
    <t>Оштукатуривание цементно-церезитовая по стену резервуара / Plastering cement-ceresite on the wall of the tank</t>
  </si>
  <si>
    <t>Устройство ж/б колонн Км-1. Бетон В 25 М:350 / Construction of reinforced concrete columns Km-1. Concrete B 25 M: 350</t>
  </si>
  <si>
    <t>Устройство ж/б балок Бм-1. Бетон В 25 М:350 /  Construction of reinforced concrete beams BM-1. Concrete B 25 M: 350</t>
  </si>
  <si>
    <t xml:space="preserve">Стремянка / Stepladder </t>
  </si>
  <si>
    <t>Установка зонтов / Installation of umbrellas</t>
  </si>
  <si>
    <t>Монтаж стальной труб Д=219х6 мм / Installation of steel pipes D=219x6 mm</t>
  </si>
  <si>
    <t>Устройство кольцо опорное / Support ring device</t>
  </si>
  <si>
    <t>КЦП1-10-1 / KCP1-10-1</t>
  </si>
  <si>
    <t>Люк Л / Luke L</t>
  </si>
  <si>
    <t>Стремянка металлическая СГ-1 / Metal stepladder SG-1</t>
  </si>
  <si>
    <t>Сальник Ду 150 мм / Oil seal DN 150 mm</t>
  </si>
  <si>
    <t>Сальник Ду 200 мм / Oil seal DN 200 mm</t>
  </si>
  <si>
    <t>Устройство бетонн. Бетон тяжелый В 25 М:350 / Concrete installation Heavy concrete B 25 M: 350</t>
  </si>
  <si>
    <t>Обетонировать во круг асбестоцементных труб /  Concrete around asbestos-cement pipes</t>
  </si>
  <si>
    <t>Устройство ж/б перекрытий. Бетон В 25 М:350 /  Installation of reinforced concrete floors. Concrete B 25 M: 350</t>
  </si>
  <si>
    <t>Оштукатуривание цементно-церезитовая с внутри резервуара / Plastering cement-ceresite with inside the tank</t>
  </si>
  <si>
    <t>Гидроизоляция перекрытий горизонтальная оклеечная в 2 слоя / Waterproofing of floors horizontally glued in 2 layers</t>
  </si>
  <si>
    <t>Прокладка трубопроводов  водоснабжения из стальных электросварных труб диаметром: 219х4 мм / Laying water supply pipelines from steel electric-welded pipes with a diameter of 219x4 mm</t>
  </si>
  <si>
    <t>Прокладка трубопроводов  водоснабжения из стальных электросварных труб диаметром: 159х4 мм / Laying water supply pipelines from steel electric-welded pipes with a diameter of 159x4 mm</t>
  </si>
  <si>
    <t>Установка клапанов обратных Д= 150 мм. Клапан автоматический поплавковый DN150 мм PN6 / Installation of check valves D = 150 mm. Automatic float valve DN150 mm PN6</t>
  </si>
  <si>
    <t>Заделка сальников при проходе труб через фундаменты или стены подвала диаметром: до 150 мм. Сальники нажимные Ду ∅150 мм / Sealing of seals when pipes pass through foundations or basement walls with a diameter of up to 150 mm. Pressure seals DN ∅150 mm</t>
  </si>
  <si>
    <t>Заделка сальников при проходе труб через фундаменты или стены подвала диаметром: до 200 мм. Сальники нажимные Ду ∅200 мм / Sealing of seals when pipes pass through foundations or basement walls with a diameter of up to 200 mm. Pressure seals DN ∅200 mm</t>
  </si>
  <si>
    <t>Установка фасонных частей стальных сварных диаметром: 300-800 мм / Installation of welded steel fittings with diameter: 300-800 mm</t>
  </si>
  <si>
    <t>Отвод  ∅219 мм 90° / Bend ∅219 mm 90°</t>
  </si>
  <si>
    <t>Отвод  ∅159 мм 90° / Bend ∅159 mm 90°</t>
  </si>
  <si>
    <t>Воронка ∅380/219 мм / Funnel ∅380/219 mm</t>
  </si>
  <si>
    <t>Воронка ∅270/159 мм / Funnel ∅270/159 mm</t>
  </si>
  <si>
    <t>Хомут для крепления труб Ду=200мм с анкером ∅16мм L=150мм / Clamp for fastening pipes DN=200mm with anchor ∅16mm L=150mm</t>
  </si>
  <si>
    <t>Хомут для крепления труб Ду=150мм с анкером ∅16мм L=150мм / Clamp for fastening pipes DN=150mm with anchor ∅16mm L=150mm</t>
  </si>
  <si>
    <t>Профиль 80х80х6мм, L=500 / Profile 80x80x6mm, L=500</t>
  </si>
  <si>
    <t>Уголок 63х63х6, L=2000 / Corner 63x63x6, L=2000</t>
  </si>
  <si>
    <t>Уголок 63х63х6, L=2400 / Corner 63x63x6, L=2400</t>
  </si>
  <si>
    <t>Уголок 50х50х4, L=2000 / Corner 50x50x4, L=2000</t>
  </si>
  <si>
    <t>Уголок 63х63х4, L=3000 / Corner 63x63x4, L=3000</t>
  </si>
  <si>
    <t>Уголок 63х63х4, L=2150 / Corner 63x63x4, L=2150</t>
  </si>
  <si>
    <t>Стальной лист 220х220х8мм / Steel sheet 220x220x8mm</t>
  </si>
  <si>
    <t>Стальной лист 410х280х8мм / Steel sheet 410x280x8mm</t>
  </si>
  <si>
    <t>Арматура d=12мм AIII, L=1000 / Rebar d=12mm AIII, L=1000</t>
  </si>
  <si>
    <t>Уголок 35х35х4мм, L=1000 / Corner 35x35x4mm, L=1000</t>
  </si>
  <si>
    <t>Уголок 35х35х4мм, L=2000 / Corner 35x35x4mm, L=2000</t>
  </si>
  <si>
    <t>Уголок 35х35х4мм, L=1950 / Corner 35x35x4mm, L=1950</t>
  </si>
  <si>
    <t>Уголок 35х35х4мм, L=10500 / Corner 35x35x4mm, L=10500</t>
  </si>
  <si>
    <t>Общивка стен. Сталь листовая оцинкованная (1м2 =3,84кг) / Wall paneling. Galvanized sheet steel (1m2 =3.84kg)</t>
  </si>
  <si>
    <t>Изготовленные и монтаж  профильные трубы. Профиль 40х20х2мм. 107,5м / Manufactured and installed profile pipes. Profile 40x20x2mm. 107.5m</t>
  </si>
  <si>
    <t>Изоляция изделиями из пенопласта: стен. Утеплитель пенополиизоцианурат 60мм / Insulation with foam plastic products: walls. Insulation polyisocyanurate foam 60mm</t>
  </si>
  <si>
    <t>Общивка стен из гипсокартонных листов (38м2) с обеих сторон (С-115.1): перегородки с шагом стоечных профилей 600 мм, глухие высотой до 3 м / Wall cladding made of plasterboard sheets (38 m2) on both sides (C-115.1): partitions with a pitch of rack profiles of 600 mm, blind up to 3 m high</t>
  </si>
  <si>
    <t>Изготовленные и монтаж профильные трубы. Профиль 40х20х2мм=72,5м / Manufactured and installed profile pipes. Profile 40x20x2mm=72.5m</t>
  </si>
  <si>
    <t>Изоляция изделиями из пенопласта насухо  перекрытий. Утеплитель пенополиизоцианурат 60мм / Dry insulation of floors with foam plastic products. Insulation polyisocyanurate foam 60mm</t>
  </si>
  <si>
    <t>Устройство калиток глухих / Installation of blind gates</t>
  </si>
  <si>
    <t>Прослойка и заполнение швов из цементной песчанной раствора М150 тол. 20 мм / Layering and filling of joints from cement sand mortar M150 thickness. 20 mm</t>
  </si>
  <si>
    <t>Устройство покрытия пола из керамической плиткой / Ceramic tile flooring installation</t>
  </si>
  <si>
    <t>Спецификация оборудования и материалы В1 / Specification of equipment and materials B1</t>
  </si>
  <si>
    <t>Установка полиэтиленовый растворный бак емкостью 100 л / Installation polyethylene solution tank with a capacity of 100 l</t>
  </si>
  <si>
    <t>Установка узел ввода хлора  Д=20 мм / Installation of chlorine input unit D=20 mm</t>
  </si>
  <si>
    <t>Монтаж  полиэтиленовых труб Д=20 мм / Installation of polyethylene pipes D=20 mm</t>
  </si>
  <si>
    <t>Монтаж  полиэтиленовых труб Д=25 мм / Installation of polyethylene pipes D=25 mm</t>
  </si>
  <si>
    <t>Отводов ∅ 20 мм ПП / Bends ∅ 20 mm PP</t>
  </si>
  <si>
    <t>Отводов ∅ 25 мм ПП / Bends ∅ 25 mm PP</t>
  </si>
  <si>
    <t>Тройник ∅ 25х25 мм / Tee ∅ 25x25 mm</t>
  </si>
  <si>
    <t>Y-сетчатый фильтр ПП ∅25 / Y-mesh filter PP ∅25</t>
  </si>
  <si>
    <t>Установка шаровой кран  Д=20 мм / Installation of ball valve D=20 mm</t>
  </si>
  <si>
    <t>Установка кран  Д=25 мм / Installation of faucet D=25 mm</t>
  </si>
  <si>
    <t>Установка кран  Д=50 мм / Installation of faucet D=50 mm</t>
  </si>
  <si>
    <t>Тройник ∅50x50 мм / Tee ∅50x50 mm</t>
  </si>
  <si>
    <t>Отвод 90° ПЭ ∅50 мм / Elbow 90° PE ∅50 mm</t>
  </si>
  <si>
    <t>Отвод 45° ПЭ ∅50 мм / Elbow 45° PE ∅50 mm</t>
  </si>
  <si>
    <t>Прокладка трубопроводов канализации из полиэтиленовых труб высокой плотности диаметром: 50 мм / Laying sewerage pipelines from high-density polyethylene pipes with a diameter of 50 mm</t>
  </si>
  <si>
    <t>Комплект средств индивидуальной защиты включая: / A set of personal protective equipment including:</t>
  </si>
  <si>
    <t>Ботинки / Boots</t>
  </si>
  <si>
    <t>Резиновые перчатки / Latex gloves</t>
  </si>
  <si>
    <t>Очки / Glasses</t>
  </si>
  <si>
    <t>Шкафчик для хранения одежды / Clothes storage locker</t>
  </si>
  <si>
    <t>Аптечка с одноразовыми масками / First aid kit with disposable masks</t>
  </si>
  <si>
    <t>Установка регуляторов давления газа диаметром: до 50 мм / Installation of gas pressure regulators with a diameter of up to 50 mm</t>
  </si>
  <si>
    <t>Установка задвижек диаметром: 80 мм. Задвижка чуг. фланцевая с обрезиненым клином Ру=0.6МПа, 30ч39р ∅80 мм / Installation of valves with diameter: 80 mm. Cast iron valve flanged with rubberized wedge Ru=0.6MPa, 30х39р ∅80 mm</t>
  </si>
  <si>
    <t>Приварка фланцев к стальным трубопроводам диаметром: 80 мм. Фланец ст. приварной ∅80мм Ру=0.6МПа / Welding of flanges to steel pipelines with a diameter of 80 mm. Flange Art. welded ∅80mm Ru=0.6MPa</t>
  </si>
  <si>
    <t>Промывка с дезинфекцией трубопроводов диаметром: 90 мм / Washing and disinfection of pipelines with diameter: 90 mm</t>
  </si>
  <si>
    <t>Укладка трубопроводов из полиэтиленовых труб диаметром: 90 мм. Труба ПЭ SDR26, ∅90 мм / Laying pipelines from polyethylene pipes with a diameter of 90 mm. PE pipe SDR26, ∅90 mm</t>
  </si>
  <si>
    <t>Укладка стальных водопроводных труб с гидравлическим испытанием диаметром: 89x4 мм / Laying steel water pipes with hydraulic testing, diameter: 89x4 mm</t>
  </si>
  <si>
    <t>Отвод ПЭ  90° ∅=90 мм / PE bend 90° ∅=90 mm</t>
  </si>
  <si>
    <t>Фтулка под фланец ∅160 мм / Flange fitting ∅160 mm</t>
  </si>
  <si>
    <t>Тройник ст. приварной ∅150x150 мм / Tee st. welded ∅150x150 mm</t>
  </si>
  <si>
    <t>Фтулка под фланец ∅90 мм / Flange fitting ∅90 mm</t>
  </si>
  <si>
    <t>Укладка стальных водопроводных труб с гидравлическим испытанием диаметром: 80x4 мм / Laying steel water pipes with hydraulic testing, diameter: 80x4 mm</t>
  </si>
  <si>
    <t>Нанесение нормальной антикоррозионной битумно-резиновой или битумно-полимерной изоляции на стальные трубопроводы диаметром: 80x4 мм / Application of normal anti-corrosion bitumen-rubber or bitumen-polymer insulation on steel pipelines with a diameter of 80x4 mm</t>
  </si>
  <si>
    <t>Установка задвижек диаметром: 100 мм. Задвижка чуг. фланцевая с обрезиненым клином Ру=0.6МПа, 30ч39р ∅100 мм / Application of normal anti-corrosion bitumen-rubber or bitumen-polymer insulation on steel pipelines with a diameter of 108x4 mm</t>
  </si>
  <si>
    <t xml:space="preserve">Укладка стальных водопроводных труб с гидравлическим испытанием диаметром: 108x4 мм / </t>
  </si>
  <si>
    <t>Приварка фланцев к стальным трубопроводам диаметром: 100 мм. Фланец ст. приварной ∅100мм Ру=0.6МПа / Welding of flanges to steel pipelines with a diameter of 100 mm. Flange Art. welded ∅100mm Ru=0.6MPa</t>
  </si>
  <si>
    <t>Промывка с дезинфекцией трубопроводов диаметром: 110 мм / Washing and disinfection of pipelines with diameter: 110 mm</t>
  </si>
  <si>
    <t>Укладка трубопроводов из полиэтиленовых труб диаметром: 110 мм. Труба ПЭ100 SDR26, Д=110 мм / Laying pipelines from polyethylene pipes with a diameter of 110 mm. Pipe PE100 SDR26, D=110 mm</t>
  </si>
  <si>
    <t>Отвод ПЭ100  60°, ∅100 мм / Elbow PE100 60°, ∅100 mm</t>
  </si>
  <si>
    <t>Втулка под фланец ПЭ110, ∅110 мм / Sleeve for flange PE110, ∅110 mm</t>
  </si>
  <si>
    <t>Устройство теплоизоляционного слоя из пеноплекса т=50мм / Installation of a thermal insulation layer made of penoplex t=50mm</t>
  </si>
  <si>
    <t>Гидроизоляция боковая обмазочная битумная в 2 слоя /  Lateral coating waterproofing bitumen in 2 layers</t>
  </si>
  <si>
    <t>Рытьё траншеи ручным способом для установки опоры наружное освещение / Digging a trench manually to install an outdoor lighting support</t>
  </si>
  <si>
    <t>Материалы / Materials</t>
  </si>
  <si>
    <t>Установка и монтаж LED светильников с солнечными панелями "Солярис LN-225" на опоры / Installation and installation of LED lamps with solar panels "Solaris LN-225" on supports</t>
  </si>
  <si>
    <t>Монокристаллическая криемневая солнечная панель 18V,45 W Аккумуляторная батарея, литиевая 12,8V,18 Ah ОВВКЭО Контроллер солнечного заряда
LED светильник 12V, 25W B / Monocrystalline silicon solar panel 18V,45 W Rechargeable battery, lithium 12.8V,18 Ah OVVKEO Solar charge controller LED lamp 12V, 25W B</t>
  </si>
  <si>
    <t>Подготовка и заливка бетона, марки M 150 под траншеей опоры / Preparation and pouring of concrete, grade M 150 under the support trench</t>
  </si>
  <si>
    <t>Установка металлические фланцевые опоры Солярис-3, высотой 4м / Installation of metal flange supports Solaris-3, 4m high</t>
  </si>
  <si>
    <t>Устройство ж/б днища резервуара из бетона М:350 / Construction of a reinforced concrete tank bottom made of concrete M:350</t>
  </si>
  <si>
    <t>Устройство стен Стм-2: бетонных. Бетон В 25 М:350 / Construction of walls STM-2: concrete. Concrete B 25 M: 350</t>
  </si>
  <si>
    <t>Установка зонтов над шахтами из листовой стали прямоугольного сечения периметром: 1000 мм / Installation of umbrellas over shafts made of rectangular sheet steel with a perimeter of: 1000 mm</t>
  </si>
  <si>
    <t>Устройство ж/б перекрытий. Бетон В 25 М:350 / Installation of reinforced concrete floors. Concrete B 25 M: 350</t>
  </si>
  <si>
    <t>Устройство круглых колодцев из сборного железобетона в грунтах: сухих / Construction of round wells made of precast reinforced concrete in soils: dry</t>
  </si>
  <si>
    <t>КЦО-1 кольца опорное / KTsO-1 support rings</t>
  </si>
  <si>
    <t>КЦ-7-3 кольцо стеновое / KTs-7-3 wall ring</t>
  </si>
  <si>
    <t>Люки чугунные тип Л / Cast iron hatches type L</t>
  </si>
  <si>
    <t>Монтаж лестниц прямолинейных и криволинейных, пожарных с ограждением / Installation of straight and curved ladders, fire ladders with fencing</t>
  </si>
  <si>
    <t>Уголок 75х5  L=4400мм / Corner 75x5 L=4400mm</t>
  </si>
  <si>
    <t>Огрунтовка металлических поверхностей за один раз грунтовкой ХС-068 / One-time priming of metal surfaces with XC-068 primer</t>
  </si>
  <si>
    <t>Окраска металлических огрунтованных поверхностей эмалью ХС-436 / Painting primed metal surfaces with XC-436 enamel</t>
  </si>
  <si>
    <t>Сальник Ø150 (28,2кг) / Oil seal Ø150 (28.2kg)</t>
  </si>
  <si>
    <t>Сальник Ø200 (35кг) / Oil seal Ø200 (35kg)</t>
  </si>
  <si>
    <t>Арматура кл. А-I Ø16 / Rebar A-I Ø16</t>
  </si>
  <si>
    <t>Роторное бурение скважин с прямой промывкой станками с дизельным двигателем глубиной до 50 м в грунтах группы: 3. Д=394мм / Rotary drilling of wells with direct flushing using machines with a diesel engine to a depth of up to 50 m in soils of group: 3. D = 394 mm</t>
  </si>
  <si>
    <t>Роторное бурение скважин с прямой промывкой станками с дизельным двигателем глубиной до 100 м в грунтах группы: 7. Д=295мм / Rotary drilling of wells with direct flushing using machines with a diesel engine to a depth of up to 100 m in soils of group: 7. D = 295 mm</t>
  </si>
  <si>
    <t>Роторное бурение скважин с прямой промывкой станками с дизельным двигателем глубиной до 100 м в грунтах группы: 10. Д=295мм / Rotary drilling of wells with direct flushing using machines with a diesel engine to a depth of up to 100 m in soils of group: 10. D = 295 mm</t>
  </si>
  <si>
    <t>Обсадных труб Д=219х8 мм с соединением: муфтовым / Casing pipes D=219x8 mm with connection: coupling</t>
  </si>
  <si>
    <t>Установка кондуктора Д=325х8 мм / Installation of conductor D=325x8 mm</t>
  </si>
  <si>
    <t>Тестирование скважыни посредством пошаговой откачки / Well testing using step-by-step pumping</t>
  </si>
  <si>
    <t>Подбашмачный тампонаж глиной при роторном бурении, глубина скважины: до 500 м / Undershoe plugging with clay during rotary drilling, well depth: up to 500 m</t>
  </si>
  <si>
    <t>Засыпка в межтрубное пространство при всех видах бурения: щебень / Backfilling into the annulus for all types of drilling: crushed stone</t>
  </si>
  <si>
    <t>Устройство отмоска из камня бутового / Construction of a blind area made of rubble stone</t>
  </si>
  <si>
    <t>Цементация затрубного пространства комплектом бурового оборудования и цем-ой установкой с расходом сухой смеси на 1 м цементируемой части скважины до 400 или более 400 кг при роторном бурении глубина посадки цементируемой колонны: до 100 м / Cementation of the annulus with a set of drilling equipment and a cement installation with a dry mixture consumption per 1 m of the cemented part of the well up to 400 or more than 400 kg for rotary drilling, planting depth of the cemented column: up to 100 m</t>
  </si>
  <si>
    <t>Просверление фильтра д-10,12 мм Д=219х8 мм / Filter drilling d-10.12 mm D=219x8 mm</t>
  </si>
  <si>
    <t>Сетка из стали Ст.3 / Steel mesh St.3</t>
  </si>
  <si>
    <t>сутки/day</t>
  </si>
  <si>
    <t>Откачка воды из скважины эрлифтом / Pumping water from a well using an airlift</t>
  </si>
  <si>
    <t>колонна/сolumn</t>
  </si>
  <si>
    <t>Зона водоснабжения 1 / Water supply zone 1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</si>
  <si>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</si>
  <si>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</si>
  <si>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</si>
  <si>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</si>
  <si>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</si>
  <si>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</si>
  <si>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</si>
  <si>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</si>
  <si>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</si>
  <si>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</si>
  <si>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</si>
  <si>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6.3.1</t>
  </si>
  <si>
    <t>6.3.2</t>
  </si>
  <si>
    <t>6.3.3</t>
  </si>
  <si>
    <t>6.3.4</t>
  </si>
  <si>
    <t>6.3.5</t>
  </si>
  <si>
    <t>6.3.6</t>
  </si>
  <si>
    <t>6.4.1</t>
  </si>
  <si>
    <t>6.4.2</t>
  </si>
  <si>
    <t>6.4.3</t>
  </si>
  <si>
    <t>6.5.1</t>
  </si>
  <si>
    <t>6.5.2</t>
  </si>
  <si>
    <t>6.5.3</t>
  </si>
  <si>
    <t>6.5.4</t>
  </si>
  <si>
    <t>6.5.5</t>
  </si>
  <si>
    <t>I</t>
  </si>
  <si>
    <t>4.8</t>
  </si>
  <si>
    <t>4.6</t>
  </si>
  <si>
    <t>4.7</t>
  </si>
  <si>
    <t>4.9</t>
  </si>
  <si>
    <t>4.10</t>
  </si>
  <si>
    <t>4.11</t>
  </si>
  <si>
    <t>4.12</t>
  </si>
  <si>
    <t>4.13</t>
  </si>
  <si>
    <t>Технологическая часть резервуар / Technological part tank</t>
  </si>
  <si>
    <t>J</t>
  </si>
  <si>
    <t>Монтаж каркасов одноэтажных производственных зданий одно- и многопролетных без фонарей пролетом: / Installation of frames of single-story industrial buildings, single- and multi-bay, without skylights:</t>
  </si>
  <si>
    <t>1.13</t>
  </si>
  <si>
    <t>1.14</t>
  </si>
  <si>
    <t>1.15</t>
  </si>
  <si>
    <t>1.16</t>
  </si>
  <si>
    <t>1.17</t>
  </si>
  <si>
    <t>Каркас / Framework</t>
  </si>
  <si>
    <t>Полы / Floors</t>
  </si>
  <si>
    <t>2.2.1</t>
  </si>
  <si>
    <t>2.2.2</t>
  </si>
  <si>
    <t>2.2.4</t>
  </si>
  <si>
    <t>2.2.5</t>
  </si>
  <si>
    <t>2.2.6</t>
  </si>
  <si>
    <t>Колодец 1,5х1,5х3,2м / Well 1.5x1.5x3.2m</t>
  </si>
  <si>
    <t>Нанесение нормальной антикоррозионной битумно-резиновой или битумно-полимерной изоляции на стальные трубопроводы диаметром: 108x4 мм / Application of normal anti-corrosion bitumen-rubber or bitumen-polymer insulation on steel pipelines with a diameter of 108x4 mm</t>
  </si>
  <si>
    <t>Укладка стальных водопроводных труб с гидравлическим испытанием диаметром: 108x4 мм / Laying steel water pipes with hydraulic testing, diameter: 108x4 mm</t>
  </si>
  <si>
    <t>Перемещением до 10 м бульдозерами мощностью: 59 (80) кВт (л.с.), 2 группа грунтов / Moving up to 10 m with bulldozers with power: 59 (80) kW (hp), soil group 2</t>
  </si>
  <si>
    <t>H</t>
  </si>
  <si>
    <t>Внутриплощадочные трубопроводы НВ / 'On-site pipelines NV</t>
  </si>
  <si>
    <t>Наружные сети водоснабжения / External water supply networks</t>
  </si>
  <si>
    <t xml:space="preserve">Гидроизоляция боковая обмазочная битумная в 2 слоя по выравненной поверхности бутовой кладки, кирпичу, бетону / </t>
  </si>
  <si>
    <t xml:space="preserve">Изоляция с внутреней сторони материалом КТ трон-7 в составе 1,2кг/м2 на 1мм толь / </t>
  </si>
  <si>
    <t>Закладной деталей 30х30х2,5 L=600 мм</t>
  </si>
  <si>
    <t xml:space="preserve">Устройство бетон тяжелый В 25 М:350 / </t>
  </si>
  <si>
    <t xml:space="preserve">50х4  L=100мм / </t>
  </si>
  <si>
    <t xml:space="preserve">8АI  L=840мм / </t>
  </si>
  <si>
    <t>Гидроизоляция и колодец</t>
  </si>
  <si>
    <t>5.22</t>
  </si>
  <si>
    <t>5.23</t>
  </si>
  <si>
    <t>5.24</t>
  </si>
  <si>
    <t>5.25</t>
  </si>
  <si>
    <t xml:space="preserve"> Внутрипл-ные тех-кие труб-ды НВ и колодец 1,5х1,5х1,5 и 1,5х1,5х32</t>
  </si>
  <si>
    <t>Водопровод с гидравлическим испытанием / Water pipes</t>
  </si>
  <si>
    <t>Установка задвижек диаметром: 80 мм / Installation of valves with diameter: 80 mm</t>
  </si>
  <si>
    <t>7.25</t>
  </si>
  <si>
    <t xml:space="preserve">Установка металлических дверей / </t>
  </si>
  <si>
    <t>Изоляция изделиями из пенопласта насухо перекрытий / Dry insulation of floors with foam plastic products</t>
  </si>
  <si>
    <t>1.2.1</t>
  </si>
  <si>
    <t>1.2.2</t>
  </si>
  <si>
    <t>1.2.3</t>
  </si>
  <si>
    <t>1.2.4</t>
  </si>
  <si>
    <t>1.2.5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</si>
  <si>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</si>
  <si>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</si>
  <si>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</si>
  <si>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</si>
  <si>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</si>
  <si>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</si>
  <si>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</si>
  <si>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</si>
  <si>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</si>
  <si>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</si>
  <si>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</si>
  <si>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</si>
  <si>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</si>
  <si>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</si>
  <si>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</si>
  <si>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</si>
  <si>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</si>
  <si>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</si>
  <si>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</si>
  <si>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</si>
  <si>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</si>
  <si>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</si>
  <si>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1.3.23</t>
  </si>
  <si>
    <t>1.3.24</t>
  </si>
  <si>
    <t>1.3.25</t>
  </si>
  <si>
    <t>1.3.26</t>
  </si>
  <si>
    <t>1.3.27</t>
  </si>
  <si>
    <t>1.3.28</t>
  </si>
  <si>
    <t>1.3.29</t>
  </si>
  <si>
    <t>1.3.30</t>
  </si>
  <si>
    <t xml:space="preserve">Площадка НРР-зона 1.  Внутрипл. тех-кие труб-ды и колодцы 1,5х1,5х4,000  </t>
  </si>
  <si>
    <t>Устройство теплоизоляционного слоя из пеноплекса 50мм</t>
  </si>
  <si>
    <t>Окраска металлических огрунтованных поверхностей эмалью ХВ-784 два раза / Painting of metal primed surfaces with ХВ-784 enamel twice</t>
  </si>
  <si>
    <t>Огрунтовка металлических поверхностей за два раза грунтовкой ГФ-021 / two-time priming of metal surfaces with primer GF-021</t>
  </si>
  <si>
    <t>Установка фланцевых соединений на стальных трубопроводах диаметром: 150 мм</t>
  </si>
  <si>
    <t>Прокладка трубопроводов  водоснабжения из стальных электросварных труб диаметром: 108х4 мм / Laying water supply pipelines from steel electric-welded pipes with a diameter of 108x4 mm</t>
  </si>
  <si>
    <t>Прокладка трубопроводов  водоснабжения из стальных электросварных труб диаметром: 89х4 мм / Laying water supply pipelines from steel electric-welded pipes with a diameter of 89x4 mm</t>
  </si>
  <si>
    <t>Установка клапанов обратных Д= 80 мм. Клапан автоматический поплавковый DN80 мм PN6 / Installation of check valves D = 80 mm. Automatic float valve DN80 mm PN6</t>
  </si>
  <si>
    <t>Установка фланцевых соединений на стальных трубопроводах диаметром: 80 мм</t>
  </si>
  <si>
    <t>Заделка сальников при проходе труб через фундаменты или стены подвала диаметром: до 200 мм. Сальники нажимные Ду ∅80 мм / Sealing of seals when pipes pass through foundations or basement walls with a diameter of up to 200 mm. Pressure seals DN ∅80 mm</t>
  </si>
  <si>
    <t>Отвод  ∅108 мм 90° / Bend ∅108 mm 90°</t>
  </si>
  <si>
    <t>Отвод  ∅89 мм 90° / Bend ∅89 mm 90°</t>
  </si>
  <si>
    <t>Воронка ∅250/108 мм / Funnel ∅250/108 mm</t>
  </si>
  <si>
    <t>Воронка ∅200/108 мм / Funnel ∅200/108 mm</t>
  </si>
  <si>
    <t xml:space="preserve">Хомут для крепления труб Ду=100мм с анкером ∅16мм / Clamp for fastening pipes DN=200mm with anchor ∅16mm </t>
  </si>
  <si>
    <t xml:space="preserve">Хомут для крепления труб Ду=150мм с анкером ∅16мм / Clamp for fastening pipes DN=150mm with anchor ∅16mm </t>
  </si>
  <si>
    <t>Единица 
измерения
Unit</t>
  </si>
  <si>
    <t>Бурение скважины / Borehole drilling</t>
  </si>
  <si>
    <t>2.1.1</t>
  </si>
  <si>
    <t>2.1.2</t>
  </si>
  <si>
    <t>3.1.1</t>
  </si>
  <si>
    <t>3.1.2</t>
  </si>
  <si>
    <t>3.1.3</t>
  </si>
  <si>
    <t>3.1.4</t>
  </si>
  <si>
    <t>3.1.5</t>
  </si>
  <si>
    <t>3.1.6</t>
  </si>
  <si>
    <t>3.1.7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</si>
  <si>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</si>
  <si>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</si>
  <si>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</si>
  <si>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</si>
  <si>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</si>
  <si>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</si>
  <si>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</si>
  <si>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</si>
  <si>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</si>
  <si>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</si>
  <si>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</si>
  <si>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</si>
  <si>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</si>
  <si>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</si>
  <si>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</si>
  <si>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</si>
  <si>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</si>
  <si>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</si>
  <si>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</si>
  <si>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</si>
  <si>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</si>
  <si>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</si>
  <si>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</si>
  <si>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</si>
  <si>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</si>
  <si>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 xml:space="preserve"> Площадка НРР-зоны 1 Внешнее электроснабжение / Outdoor power supply</t>
  </si>
  <si>
    <t xml:space="preserve"> Площадка НРР-зоны 1.Наружное электроснабжение  / Outdoor power supply</t>
  </si>
  <si>
    <t>2.4.1</t>
  </si>
  <si>
    <t>2.4.2</t>
  </si>
  <si>
    <t>2.4.3</t>
  </si>
  <si>
    <t>2.4.4</t>
  </si>
  <si>
    <t>2.5.1</t>
  </si>
  <si>
    <t>2.5.2</t>
  </si>
  <si>
    <t>2.5.3</t>
  </si>
  <si>
    <t>2.5.4</t>
  </si>
  <si>
    <t>2.5.5</t>
  </si>
  <si>
    <t>2.6.1</t>
  </si>
  <si>
    <t>2.6.2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</si>
  <si>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</si>
  <si>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</si>
  <si>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</si>
  <si>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</si>
  <si>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</si>
  <si>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</si>
  <si>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</si>
  <si>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</si>
  <si>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2.7.10</t>
  </si>
  <si>
    <t>2.7.11</t>
  </si>
  <si>
    <t>2.7.12</t>
  </si>
  <si>
    <t>2.7.13</t>
  </si>
  <si>
    <t>2.7.14</t>
  </si>
  <si>
    <t>2.8.1</t>
  </si>
  <si>
    <t>2.8.2</t>
  </si>
  <si>
    <t>2.8.3</t>
  </si>
  <si>
    <t>2.8.4</t>
  </si>
  <si>
    <t>2.8.5</t>
  </si>
  <si>
    <t>2.8.6</t>
  </si>
  <si>
    <t>2.8.7</t>
  </si>
  <si>
    <t>2.8.8</t>
  </si>
  <si>
    <t>2.8.9</t>
  </si>
  <si>
    <t>2.8.10</t>
  </si>
  <si>
    <t>2.8.11</t>
  </si>
  <si>
    <t>2.8.12</t>
  </si>
  <si>
    <t>2.8.13</t>
  </si>
  <si>
    <t>2.8.14</t>
  </si>
  <si>
    <t>2.8.15</t>
  </si>
  <si>
    <t>2.8.16</t>
  </si>
  <si>
    <t>2.8.17</t>
  </si>
  <si>
    <t>2.8.18</t>
  </si>
  <si>
    <t>2.8.19</t>
  </si>
  <si>
    <t>2.8.20</t>
  </si>
  <si>
    <t>Площадка водозабора н-стации 1-го подъма  /'Water intake site</t>
  </si>
  <si>
    <t>Стен / wall</t>
  </si>
  <si>
    <t>Площадка НРР-зоны 2 Технологическая часть / Technological part</t>
  </si>
  <si>
    <t>Площадка-зона 1 / Site-zone 1</t>
  </si>
  <si>
    <t xml:space="preserve">  Площадка- зона 2   / 'Site-zone 2</t>
  </si>
  <si>
    <t xml:space="preserve"> Площадка НРР-зоны 2   (Сеточный ограждение площадки водозабора)  / Mesh fencing</t>
  </si>
  <si>
    <t>Подводящий трубопровод  / Supply pipeline</t>
  </si>
  <si>
    <t>Отводящие трубопроводы / 'Outlet pipelines</t>
  </si>
  <si>
    <t>Проливной/ 'Pouring</t>
  </si>
  <si>
    <t>Спускной трубопровод / Drain pipeline</t>
  </si>
  <si>
    <t>Внутриплощадочные НВ / ' On-site Water Supply</t>
  </si>
  <si>
    <t>2.1.3</t>
  </si>
  <si>
    <t>2.1.4</t>
  </si>
  <si>
    <t>2.1.5</t>
  </si>
  <si>
    <t>2.1.6</t>
  </si>
  <si>
    <t>2.1.7</t>
  </si>
  <si>
    <t>2.2.7</t>
  </si>
  <si>
    <t>2.2.8</t>
  </si>
  <si>
    <t>3.4.1</t>
  </si>
  <si>
    <t>3.4.2</t>
  </si>
  <si>
    <t>3.4.3</t>
  </si>
  <si>
    <t>3.5.1</t>
  </si>
  <si>
    <t>3.5.2</t>
  </si>
  <si>
    <t>3.5.3</t>
  </si>
  <si>
    <t>3.5.4</t>
  </si>
  <si>
    <t>3.5.5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</si>
  <si>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</si>
  <si>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</si>
  <si>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</si>
  <si>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</si>
  <si>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</si>
  <si>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</si>
  <si>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</si>
  <si>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</si>
  <si>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</si>
  <si>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</si>
  <si>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</si>
  <si>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</si>
  <si>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</si>
  <si>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</si>
  <si>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</si>
  <si>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</si>
  <si>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 xml:space="preserve"> Площадка НРР-зоны 1. Внутрипл.  тех-кие труб-ды  и Колодцы 1,5х1,5х1,8 / </t>
  </si>
  <si>
    <t xml:space="preserve">ВЕДОМОСТЬ ОБЪЕМОВ РАБОТ / BILL OF QUANTITIES </t>
  </si>
  <si>
    <t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</si>
</sst>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00"/>
    <numFmt numFmtId="166" formatCode="_-* #,##0.00_р_._-;\-* #,##0.00_р_._-;_-* &quot;-&quot;??_р_._-;_-@_-"/>
    <numFmt numFmtId="167" formatCode="0.000000"/>
    <numFmt numFmtId="168" formatCode="&quot;Истина&quot;;&quot;Истина&quot;;&quot;Ложь&quot;"/>
    <numFmt numFmtId="169" formatCode="#.##"/>
    <numFmt numFmtId="170" formatCode="_(* #,##0.00_);_(* \(#,##0.00\);_(* \-??_);_(@_)"/>
    <numFmt numFmtId="171" formatCode="#,##0.00;[Red]#,##0.00"/>
    <numFmt numFmtId="172" formatCode="_-* #,##0.00\ _₽_-;\-* #,##0.00\ _₽_-;_-* &quot;-&quot;??\ _₽_-;_-@_-"/>
    <numFmt numFmtId="173" formatCode="_(* #,##0.000_);_(* \(#,##0.000\);_(* &quot;-&quot;??_);_(@_)"/>
    <numFmt numFmtId="174" formatCode="_-* #,##0.000\ _₽_-;\-* #,##0.000\ _₽_-;_-* &quot;-&quot;???\ _₽_-;_-@_-"/>
    <numFmt numFmtId="175" formatCode="0.0000"/>
  </numFmts>
  <fonts count="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1"/>
      <color theme="1"/>
      <name val="Rockwel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Rockwell"/>
      <family val="2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</font>
    <font>
      <sz val="11"/>
      <color indexed="8"/>
      <name val="Rockwell"/>
      <family val="2"/>
      <charset val="204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8"/>
      <color indexed="56"/>
      <name val="Cambria"/>
      <family val="1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3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theme="1"/>
      <name val="Rockwell"/>
      <family val="2"/>
      <charset val="204"/>
    </font>
    <font>
      <sz val="11"/>
      <color theme="1"/>
      <name val="Calibri"/>
      <family val="2"/>
      <scheme val="minor"/>
    </font>
    <font>
      <sz val="11"/>
      <color rgb="FF006100"/>
      <name val="Rockwell"/>
      <family val="2"/>
      <charset val="204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C6EF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indexed="42"/>
        <bgColor indexed="42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5">
    <xf numFmtId="0" fontId="0" fillId="0" borderId="0"/>
    <xf numFmtId="0" fontId="3" fillId="0" borderId="0"/>
    <xf numFmtId="0" fontId="3" fillId="0" borderId="0" applyFont="0" applyFill="0" applyBorder="0" applyAlignment="0" applyProtection="0"/>
    <xf numFmtId="0" fontId="7" fillId="0" borderId="0"/>
    <xf numFmtId="0" fontId="9" fillId="0" borderId="0"/>
    <xf numFmtId="44" fontId="11" fillId="0" borderId="0" applyFont="0" applyFill="0" applyBorder="0" applyAlignment="0" applyProtection="0"/>
    <xf numFmtId="0" fontId="5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27" borderId="5" applyNumberFormat="0" applyAlignment="0" applyProtection="0"/>
    <xf numFmtId="0" fontId="35" fillId="28" borderId="6" applyNumberFormat="0" applyAlignment="0" applyProtection="0"/>
    <xf numFmtId="166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22" fillId="0" borderId="0" applyFill="0" applyBorder="0" applyAlignment="0" applyProtection="0"/>
    <xf numFmtId="164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ill="0" applyBorder="0" applyAlignment="0" applyProtection="0"/>
    <xf numFmtId="44" fontId="41" fillId="0" borderId="0" applyFont="0" applyFill="0" applyBorder="0" applyAlignment="0" applyProtection="0"/>
    <xf numFmtId="0" fontId="20" fillId="0" borderId="0">
      <alignment vertical="center"/>
    </xf>
    <xf numFmtId="0" fontId="39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18" fillId="9" borderId="0" applyNumberFormat="0" applyBorder="0" applyAlignment="0" applyProtection="0"/>
    <xf numFmtId="0" fontId="30" fillId="6" borderId="0" applyNumberFormat="0" applyBorder="0" applyAlignment="0" applyProtection="0"/>
    <xf numFmtId="0" fontId="28" fillId="0" borderId="7" applyNumberFormat="0" applyFill="0" applyAlignment="0" applyProtection="0"/>
    <xf numFmtId="0" fontId="34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7" fillId="14" borderId="5" applyNumberFormat="0" applyAlignment="0" applyProtection="0"/>
    <xf numFmtId="0" fontId="36" fillId="0" borderId="10" applyNumberFormat="0" applyFill="0" applyAlignment="0" applyProtection="0"/>
    <xf numFmtId="0" fontId="26" fillId="7" borderId="0" applyNumberFormat="0" applyBorder="0" applyAlignment="0" applyProtection="0"/>
    <xf numFmtId="0" fontId="5" fillId="0" borderId="0"/>
    <xf numFmtId="0" fontId="41" fillId="0" borderId="0"/>
    <xf numFmtId="0" fontId="3" fillId="0" borderId="0" applyFont="0">
      <alignment vertical="center"/>
    </xf>
    <xf numFmtId="0" fontId="20" fillId="0" borderId="0" applyFont="0">
      <alignment vertical="center"/>
    </xf>
    <xf numFmtId="0" fontId="5" fillId="0" borderId="0"/>
    <xf numFmtId="0" fontId="9" fillId="0" borderId="0" applyFont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40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0" fillId="0" borderId="0">
      <alignment vertical="center"/>
    </xf>
    <xf numFmtId="0" fontId="3" fillId="0" borderId="0"/>
    <xf numFmtId="0" fontId="20" fillId="0" borderId="0" applyFont="0"/>
    <xf numFmtId="0" fontId="9" fillId="0" borderId="0" applyFont="0">
      <alignment vertical="center"/>
    </xf>
    <xf numFmtId="0" fontId="9" fillId="0" borderId="0" applyFont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40" fillId="0" borderId="0"/>
    <xf numFmtId="0" fontId="1" fillId="0" borderId="0"/>
    <xf numFmtId="0" fontId="9" fillId="29" borderId="11" applyNumberFormat="0" applyFont="0" applyAlignment="0" applyProtection="0"/>
    <xf numFmtId="0" fontId="33" fillId="27" borderId="12" applyNumberFormat="0" applyAlignment="0" applyProtection="0"/>
    <xf numFmtId="9" fontId="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2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19" fillId="0" borderId="0"/>
    <xf numFmtId="0" fontId="5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1" fillId="0" borderId="0"/>
    <xf numFmtId="9" fontId="9" fillId="0" borderId="0" applyFont="0" applyFill="0" applyBorder="0" applyAlignment="0" applyProtection="0"/>
    <xf numFmtId="0" fontId="50" fillId="0" borderId="0"/>
    <xf numFmtId="43" fontId="4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29">
    <xf numFmtId="0" fontId="0" fillId="0" borderId="0" xfId="0"/>
    <xf numFmtId="0" fontId="8" fillId="7" borderId="1" xfId="3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>
      <alignment vertical="center"/>
    </xf>
    <xf numFmtId="1" fontId="8" fillId="4" borderId="1" xfId="3" applyNumberFormat="1" applyFont="1" applyFill="1" applyBorder="1" applyAlignment="1">
      <alignment horizontal="center" vertical="center" wrapText="1"/>
    </xf>
    <xf numFmtId="4" fontId="8" fillId="4" borderId="1" xfId="5" applyNumberFormat="1" applyFont="1" applyFill="1" applyBorder="1" applyAlignment="1" applyProtection="1">
      <alignment horizontal="center" vertical="center" wrapText="1"/>
    </xf>
    <xf numFmtId="4" fontId="8" fillId="7" borderId="1" xfId="5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8" fillId="0" borderId="0" xfId="6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0" fillId="0" borderId="0" xfId="6" applyFont="1" applyProtection="1">
      <protection locked="0"/>
    </xf>
    <xf numFmtId="0" fontId="12" fillId="0" borderId="0" xfId="0" applyFont="1" applyProtection="1">
      <protection locked="0"/>
    </xf>
    <xf numFmtId="0" fontId="9" fillId="0" borderId="0" xfId="0" applyFont="1"/>
    <xf numFmtId="2" fontId="16" fillId="4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1" fontId="8" fillId="4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49" fontId="9" fillId="0" borderId="1" xfId="0" quotePrefix="1" applyNumberFormat="1" applyFont="1" applyBorder="1" applyAlignment="1">
      <alignment horizontal="center" vertical="center"/>
    </xf>
    <xf numFmtId="165" fontId="9" fillId="0" borderId="1" xfId="0" quotePrefix="1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8" fillId="7" borderId="1" xfId="4" quotePrefix="1" applyFont="1" applyFill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/>
    </xf>
    <xf numFmtId="0" fontId="8" fillId="0" borderId="1" xfId="6" applyFont="1" applyBorder="1" applyAlignment="1">
      <alignment horizontal="left" vertical="center" wrapText="1"/>
    </xf>
    <xf numFmtId="165" fontId="8" fillId="7" borderId="1" xfId="4" quotePrefix="1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/>
      <protection locked="0"/>
    </xf>
    <xf numFmtId="2" fontId="8" fillId="4" borderId="1" xfId="0" applyNumberFormat="1" applyFont="1" applyFill="1" applyBorder="1" applyAlignment="1" applyProtection="1">
      <alignment vertical="center"/>
      <protection locked="0"/>
    </xf>
    <xf numFmtId="0" fontId="43" fillId="0" borderId="0" xfId="4" applyFont="1" applyAlignment="1">
      <alignment vertical="center"/>
    </xf>
    <xf numFmtId="0" fontId="45" fillId="0" borderId="0" xfId="4" applyFont="1"/>
    <xf numFmtId="0" fontId="46" fillId="8" borderId="15" xfId="4" applyFont="1" applyFill="1" applyBorder="1" applyAlignment="1" applyProtection="1">
      <alignment horizontal="center" vertical="center" wrapText="1"/>
      <protection locked="0"/>
    </xf>
    <xf numFmtId="0" fontId="48" fillId="0" borderId="1" xfId="4" applyFont="1" applyBorder="1" applyAlignment="1">
      <alignment horizontal="center" vertical="center"/>
    </xf>
    <xf numFmtId="43" fontId="48" fillId="32" borderId="16" xfId="4" applyNumberFormat="1" applyFont="1" applyFill="1" applyBorder="1" applyAlignment="1">
      <alignment horizontal="center" vertical="center" wrapText="1"/>
    </xf>
    <xf numFmtId="4" fontId="19" fillId="0" borderId="1" xfId="83" applyNumberFormat="1" applyFont="1" applyBorder="1" applyAlignment="1" applyProtection="1">
      <alignment horizontal="center" vertical="center" wrapText="1"/>
      <protection locked="0"/>
    </xf>
    <xf numFmtId="171" fontId="49" fillId="0" borderId="1" xfId="4" applyNumberFormat="1" applyFont="1" applyBorder="1" applyAlignment="1">
      <alignment horizontal="center" vertical="center"/>
    </xf>
    <xf numFmtId="0" fontId="9" fillId="0" borderId="0" xfId="4"/>
    <xf numFmtId="0" fontId="48" fillId="0" borderId="18" xfId="4" applyFont="1" applyBorder="1" applyAlignment="1" applyProtection="1">
      <alignment vertical="center" wrapText="1"/>
      <protection locked="0"/>
    </xf>
    <xf numFmtId="4" fontId="48" fillId="0" borderId="19" xfId="4" applyNumberFormat="1" applyFont="1" applyBorder="1" applyAlignment="1">
      <alignment horizontal="center" vertical="center" wrapText="1"/>
    </xf>
    <xf numFmtId="43" fontId="48" fillId="0" borderId="16" xfId="4" applyNumberFormat="1" applyFont="1" applyBorder="1" applyAlignment="1">
      <alignment horizontal="center" vertical="center" wrapText="1"/>
    </xf>
    <xf numFmtId="0" fontId="48" fillId="0" borderId="18" xfId="4" applyFont="1" applyBorder="1" applyAlignment="1" applyProtection="1">
      <alignment horizontal="left" vertical="center" wrapText="1"/>
      <protection locked="0"/>
    </xf>
    <xf numFmtId="4" fontId="46" fillId="33" borderId="14" xfId="4" applyNumberFormat="1" applyFont="1" applyFill="1" applyBorder="1" applyAlignment="1" applyProtection="1">
      <alignment vertical="center"/>
      <protection locked="0"/>
    </xf>
    <xf numFmtId="4" fontId="46" fillId="33" borderId="20" xfId="4" applyNumberFormat="1" applyFont="1" applyFill="1" applyBorder="1" applyAlignment="1" applyProtection="1">
      <alignment vertical="center"/>
      <protection locked="0"/>
    </xf>
    <xf numFmtId="4" fontId="46" fillId="33" borderId="1" xfId="4" applyNumberFormat="1" applyFont="1" applyFill="1" applyBorder="1" applyAlignment="1" applyProtection="1">
      <alignment horizontal="center" vertical="center"/>
      <protection locked="0"/>
    </xf>
    <xf numFmtId="0" fontId="51" fillId="0" borderId="0" xfId="112" applyFont="1"/>
    <xf numFmtId="0" fontId="52" fillId="0" borderId="0" xfId="112" applyFont="1" applyAlignment="1">
      <alignment horizontal="left" vertical="center" wrapText="1"/>
    </xf>
    <xf numFmtId="0" fontId="10" fillId="0" borderId="0" xfId="112" applyFont="1"/>
    <xf numFmtId="0" fontId="10" fillId="0" borderId="1" xfId="112" applyFont="1" applyBorder="1" applyAlignment="1">
      <alignment vertical="center"/>
    </xf>
    <xf numFmtId="14" fontId="10" fillId="0" borderId="1" xfId="112" applyNumberFormat="1" applyFont="1" applyBorder="1" applyAlignment="1">
      <alignment horizontal="right" vertical="center"/>
    </xf>
    <xf numFmtId="0" fontId="50" fillId="0" borderId="0" xfId="112"/>
    <xf numFmtId="0" fontId="9" fillId="0" borderId="0" xfId="112" applyFont="1"/>
    <xf numFmtId="0" fontId="53" fillId="2" borderId="17" xfId="1" applyFont="1" applyFill="1" applyBorder="1" applyAlignment="1">
      <alignment horizontal="center" vertical="center" wrapText="1"/>
    </xf>
    <xf numFmtId="166" fontId="13" fillId="2" borderId="1" xfId="35" quotePrefix="1" applyFont="1" applyFill="1" applyBorder="1" applyAlignment="1" applyProtection="1">
      <alignment horizontal="center" vertical="center" wrapText="1"/>
      <protection locked="0"/>
    </xf>
    <xf numFmtId="0" fontId="6" fillId="5" borderId="1" xfId="62" applyFont="1" applyFill="1" applyBorder="1" applyAlignment="1">
      <alignment horizontal="center" vertical="center"/>
    </xf>
    <xf numFmtId="43" fontId="6" fillId="5" borderId="1" xfId="113" applyFont="1" applyFill="1" applyBorder="1" applyAlignment="1" applyProtection="1">
      <alignment horizontal="right" vertical="center"/>
    </xf>
    <xf numFmtId="0" fontId="6" fillId="3" borderId="1" xfId="62" applyFont="1" applyFill="1" applyBorder="1" applyAlignment="1">
      <alignment vertical="center"/>
    </xf>
    <xf numFmtId="43" fontId="6" fillId="3" borderId="1" xfId="113" applyFont="1" applyFill="1" applyBorder="1" applyAlignment="1" applyProtection="1">
      <alignment vertical="center"/>
    </xf>
    <xf numFmtId="0" fontId="52" fillId="0" borderId="0" xfId="112" applyFont="1"/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165" fontId="10" fillId="0" borderId="0" xfId="4" applyNumberFormat="1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right" vertical="center"/>
    </xf>
    <xf numFmtId="0" fontId="43" fillId="0" borderId="0" xfId="0" applyFont="1"/>
    <xf numFmtId="0" fontId="8" fillId="2" borderId="17" xfId="1" applyFont="1" applyFill="1" applyBorder="1" applyAlignment="1">
      <alignment horizontal="center" vertical="center" wrapText="1"/>
    </xf>
    <xf numFmtId="165" fontId="8" fillId="2" borderId="17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2" fillId="0" borderId="0" xfId="0" applyFont="1" applyProtection="1">
      <protection locked="0"/>
    </xf>
    <xf numFmtId="0" fontId="13" fillId="0" borderId="0" xfId="6" applyFont="1" applyProtection="1"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52" fillId="0" borderId="0" xfId="0" applyFont="1"/>
    <xf numFmtId="0" fontId="9" fillId="0" borderId="0" xfId="6" applyFont="1" applyProtection="1">
      <protection locked="0"/>
    </xf>
    <xf numFmtId="0" fontId="51" fillId="0" borderId="0" xfId="6" applyFont="1" applyProtection="1">
      <protection locked="0"/>
    </xf>
    <xf numFmtId="0" fontId="51" fillId="0" borderId="0" xfId="0" applyFont="1" applyProtection="1">
      <protection locked="0"/>
    </xf>
    <xf numFmtId="0" fontId="51" fillId="0" borderId="0" xfId="0" applyFont="1" applyAlignment="1" applyProtection="1">
      <alignment horizontal="center"/>
      <protection locked="0"/>
    </xf>
    <xf numFmtId="0" fontId="51" fillId="0" borderId="0" xfId="0" applyFont="1" applyAlignment="1">
      <alignment horizontal="center"/>
    </xf>
    <xf numFmtId="0" fontId="17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51" fillId="0" borderId="0" xfId="6" applyFont="1"/>
    <xf numFmtId="0" fontId="57" fillId="0" borderId="0" xfId="6" applyFont="1" applyProtection="1">
      <protection locked="0"/>
    </xf>
    <xf numFmtId="4" fontId="13" fillId="2" borderId="17" xfId="0" applyNumberFormat="1" applyFont="1" applyFill="1" applyBorder="1" applyAlignment="1">
      <alignment horizontal="center" vertical="center" wrapText="1"/>
    </xf>
    <xf numFmtId="0" fontId="13" fillId="31" borderId="1" xfId="0" applyFont="1" applyFill="1" applyBorder="1" applyAlignment="1">
      <alignment horizontal="center" vertical="center" wrapText="1"/>
    </xf>
    <xf numFmtId="49" fontId="8" fillId="7" borderId="1" xfId="4" quotePrefix="1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49" fontId="8" fillId="7" borderId="1" xfId="4" quotePrefix="1" applyNumberFormat="1" applyFont="1" applyFill="1" applyBorder="1" applyAlignment="1">
      <alignment horizontal="left" vertical="center" wrapText="1"/>
    </xf>
    <xf numFmtId="0" fontId="8" fillId="7" borderId="1" xfId="4" quotePrefix="1" applyFont="1" applyFill="1" applyBorder="1" applyAlignment="1">
      <alignment horizontal="left" vertical="center" wrapText="1"/>
    </xf>
    <xf numFmtId="2" fontId="8" fillId="4" borderId="2" xfId="0" applyNumberFormat="1" applyFont="1" applyFill="1" applyBorder="1" applyAlignment="1" applyProtection="1">
      <alignment vertical="center" wrapText="1"/>
      <protection locked="0"/>
    </xf>
    <xf numFmtId="2" fontId="8" fillId="4" borderId="1" xfId="0" applyNumberFormat="1" applyFont="1" applyFill="1" applyBorder="1" applyAlignment="1" applyProtection="1">
      <alignment vertical="center" wrapText="1"/>
      <protection locked="0"/>
    </xf>
    <xf numFmtId="0" fontId="15" fillId="34" borderId="1" xfId="0" applyFont="1" applyFill="1" applyBorder="1" applyAlignment="1">
      <alignment horizontal="center" vertical="center" wrapText="1"/>
    </xf>
    <xf numFmtId="2" fontId="8" fillId="35" borderId="1" xfId="0" applyNumberFormat="1" applyFont="1" applyFill="1" applyBorder="1" applyAlignment="1" applyProtection="1">
      <alignment vertical="center" wrapText="1"/>
      <protection locked="0"/>
    </xf>
    <xf numFmtId="165" fontId="15" fillId="3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6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6" fillId="8" borderId="21" xfId="4" applyFont="1" applyFill="1" applyBorder="1" applyAlignment="1" applyProtection="1">
      <alignment horizontal="center" vertical="center" wrapText="1"/>
      <protection locked="0"/>
    </xf>
    <xf numFmtId="0" fontId="9" fillId="0" borderId="0" xfId="112" applyFont="1" applyAlignment="1">
      <alignment vertical="center" wrapText="1"/>
    </xf>
    <xf numFmtId="0" fontId="46" fillId="8" borderId="1" xfId="4" applyFont="1" applyFill="1" applyBorder="1" applyAlignment="1" applyProtection="1">
      <alignment horizontal="center" vertical="center" wrapText="1"/>
      <protection locked="0"/>
    </xf>
    <xf numFmtId="0" fontId="44" fillId="30" borderId="1" xfId="4" quotePrefix="1" applyFont="1" applyFill="1" applyBorder="1" applyAlignment="1">
      <alignment horizontal="center" vertical="center" wrapText="1"/>
    </xf>
    <xf numFmtId="4" fontId="46" fillId="8" borderId="15" xfId="4" applyNumberFormat="1" applyFont="1" applyFill="1" applyBorder="1" applyAlignment="1" applyProtection="1">
      <alignment horizontal="center" vertical="center" wrapText="1"/>
      <protection locked="0"/>
    </xf>
    <xf numFmtId="4" fontId="4" fillId="2" borderId="22" xfId="4" applyNumberFormat="1" applyFont="1" applyFill="1" applyBorder="1" applyAlignment="1">
      <alignment horizontal="center" vertical="center" wrapText="1"/>
    </xf>
    <xf numFmtId="0" fontId="4" fillId="31" borderId="23" xfId="4" applyFont="1" applyFill="1" applyBorder="1" applyAlignment="1">
      <alignment horizontal="center" vertical="center" wrapText="1"/>
    </xf>
    <xf numFmtId="0" fontId="48" fillId="32" borderId="24" xfId="4" applyFont="1" applyFill="1" applyBorder="1" applyAlignment="1" applyProtection="1">
      <alignment horizontal="left" vertical="center" wrapText="1"/>
      <protection locked="0"/>
    </xf>
    <xf numFmtId="43" fontId="48" fillId="32" borderId="19" xfId="4" applyNumberFormat="1" applyFont="1" applyFill="1" applyBorder="1" applyAlignment="1">
      <alignment horizontal="center" vertical="center" wrapText="1"/>
    </xf>
    <xf numFmtId="4" fontId="19" fillId="0" borderId="17" xfId="83" applyNumberFormat="1" applyFont="1" applyBorder="1" applyAlignment="1" applyProtection="1">
      <alignment horizontal="center" vertical="center" wrapText="1"/>
      <protection locked="0"/>
    </xf>
    <xf numFmtId="171" fontId="49" fillId="0" borderId="17" xfId="4" applyNumberFormat="1" applyFont="1" applyBorder="1" applyAlignment="1">
      <alignment horizontal="center" vertical="center"/>
    </xf>
    <xf numFmtId="173" fontId="6" fillId="5" borderId="1" xfId="113" applyNumberFormat="1" applyFont="1" applyFill="1" applyBorder="1" applyAlignment="1" applyProtection="1">
      <alignment horizontal="right" vertical="center"/>
    </xf>
    <xf numFmtId="172" fontId="9" fillId="0" borderId="0" xfId="112" applyNumberFormat="1" applyFont="1"/>
    <xf numFmtId="172" fontId="52" fillId="0" borderId="0" xfId="0" applyNumberFormat="1" applyFont="1"/>
    <xf numFmtId="0" fontId="9" fillId="0" borderId="0" xfId="112" applyFont="1" applyAlignment="1">
      <alignment horizontal="left" vertical="center" wrapText="1"/>
    </xf>
    <xf numFmtId="164" fontId="9" fillId="0" borderId="0" xfId="114" applyFont="1"/>
    <xf numFmtId="164" fontId="52" fillId="0" borderId="0" xfId="114" applyFont="1"/>
    <xf numFmtId="174" fontId="9" fillId="0" borderId="0" xfId="112" applyNumberFormat="1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vertical="center" wrapText="1"/>
      <protection locked="0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6" applyFont="1" applyBorder="1" applyAlignment="1">
      <alignment vertical="center" wrapText="1"/>
    </xf>
    <xf numFmtId="0" fontId="10" fillId="0" borderId="1" xfId="63" applyFont="1" applyBorder="1" applyAlignment="1">
      <alignment horizontal="center" vertical="center" wrapText="1"/>
    </xf>
    <xf numFmtId="171" fontId="10" fillId="0" borderId="1" xfId="0" applyNumberFormat="1" applyFont="1" applyBorder="1" applyAlignment="1">
      <alignment horizontal="center" vertical="center"/>
    </xf>
    <xf numFmtId="2" fontId="8" fillId="0" borderId="1" xfId="4" applyNumberFormat="1" applyFont="1" applyBorder="1" applyAlignment="1">
      <alignment horizontal="center" vertical="center"/>
    </xf>
    <xf numFmtId="165" fontId="13" fillId="0" borderId="1" xfId="0" quotePrefix="1" applyNumberFormat="1" applyFont="1" applyBorder="1" applyAlignment="1">
      <alignment horizontal="center" vertical="center" wrapText="1"/>
    </xf>
    <xf numFmtId="171" fontId="8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75" fontId="8" fillId="0" borderId="1" xfId="0" applyNumberFormat="1" applyFont="1" applyBorder="1" applyAlignment="1" applyProtection="1">
      <alignment horizontal="center" vertical="center" wrapText="1"/>
      <protection locked="0"/>
    </xf>
    <xf numFmtId="2" fontId="10" fillId="0" borderId="1" xfId="4" applyNumberFormat="1" applyFont="1" applyBorder="1" applyAlignment="1">
      <alignment horizontal="center" vertical="center" wrapText="1"/>
    </xf>
    <xf numFmtId="2" fontId="58" fillId="0" borderId="1" xfId="4" applyNumberFormat="1" applyFont="1" applyBorder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9" fillId="0" borderId="0" xfId="4" applyFont="1" applyAlignment="1">
      <alignment horizontal="center" vertical="center"/>
    </xf>
    <xf numFmtId="0" fontId="49" fillId="0" borderId="0" xfId="4" applyFont="1" applyAlignment="1">
      <alignment horizontal="left" vertical="center"/>
    </xf>
    <xf numFmtId="165" fontId="49" fillId="0" borderId="0" xfId="4" applyNumberFormat="1" applyFont="1" applyAlignment="1">
      <alignment horizontal="center" vertical="center"/>
    </xf>
    <xf numFmtId="0" fontId="49" fillId="0" borderId="1" xfId="0" applyFont="1" applyBorder="1" applyAlignment="1">
      <alignment vertical="center"/>
    </xf>
    <xf numFmtId="14" fontId="49" fillId="0" borderId="1" xfId="0" applyNumberFormat="1" applyFont="1" applyBorder="1" applyAlignment="1">
      <alignment horizontal="right" vertical="center"/>
    </xf>
    <xf numFmtId="0" fontId="49" fillId="0" borderId="0" xfId="4" applyFont="1" applyAlignment="1">
      <alignment vertical="center"/>
    </xf>
    <xf numFmtId="0" fontId="60" fillId="0" borderId="0" xfId="0" applyFont="1"/>
    <xf numFmtId="0" fontId="60" fillId="0" borderId="0" xfId="4" applyFont="1" applyAlignment="1">
      <alignment vertical="center"/>
    </xf>
    <xf numFmtId="0" fontId="58" fillId="2" borderId="17" xfId="1" applyFont="1" applyFill="1" applyBorder="1" applyAlignment="1">
      <alignment horizontal="center" vertical="center" wrapText="1"/>
    </xf>
    <xf numFmtId="165" fontId="58" fillId="2" borderId="17" xfId="1" applyNumberFormat="1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>
      <alignment horizontal="center" vertical="center" wrapText="1"/>
    </xf>
    <xf numFmtId="0" fontId="4" fillId="31" borderId="1" xfId="0" applyFont="1" applyFill="1" applyBorder="1" applyAlignment="1">
      <alignment horizontal="center" vertical="center" wrapText="1"/>
    </xf>
    <xf numFmtId="49" fontId="58" fillId="7" borderId="1" xfId="4" quotePrefix="1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58" fillId="7" borderId="1" xfId="4" quotePrefix="1" applyNumberFormat="1" applyFont="1" applyFill="1" applyBorder="1" applyAlignment="1">
      <alignment horizontal="left" vertical="center" wrapText="1"/>
    </xf>
    <xf numFmtId="0" fontId="58" fillId="7" borderId="1" xfId="4" quotePrefix="1" applyFont="1" applyFill="1" applyBorder="1" applyAlignment="1">
      <alignment horizontal="left" vertical="center" wrapText="1"/>
    </xf>
    <xf numFmtId="49" fontId="19" fillId="0" borderId="1" xfId="0" quotePrefix="1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 wrapText="1"/>
    </xf>
    <xf numFmtId="2" fontId="49" fillId="0" borderId="1" xfId="4" applyNumberFormat="1" applyFont="1" applyBorder="1" applyAlignment="1">
      <alignment horizontal="center" vertical="center"/>
    </xf>
    <xf numFmtId="165" fontId="19" fillId="0" borderId="1" xfId="0" quotePrefix="1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1" fontId="58" fillId="4" borderId="1" xfId="0" applyNumberFormat="1" applyFont="1" applyFill="1" applyBorder="1" applyAlignment="1" applyProtection="1">
      <alignment horizontal="center" vertical="center"/>
      <protection locked="0"/>
    </xf>
    <xf numFmtId="2" fontId="58" fillId="4" borderId="2" xfId="0" applyNumberFormat="1" applyFont="1" applyFill="1" applyBorder="1" applyAlignment="1" applyProtection="1">
      <alignment vertical="center" wrapText="1"/>
      <protection locked="0"/>
    </xf>
    <xf numFmtId="2" fontId="58" fillId="4" borderId="1" xfId="0" applyNumberFormat="1" applyFont="1" applyFill="1" applyBorder="1" applyAlignment="1" applyProtection="1">
      <alignment vertical="center" wrapText="1"/>
      <protection locked="0"/>
    </xf>
    <xf numFmtId="2" fontId="58" fillId="4" borderId="1" xfId="0" applyNumberFormat="1" applyFont="1" applyFill="1" applyBorder="1" applyAlignment="1" applyProtection="1">
      <alignment horizontal="center" vertical="center"/>
      <protection locked="0"/>
    </xf>
    <xf numFmtId="0" fontId="49" fillId="0" borderId="2" xfId="0" applyFont="1" applyBorder="1" applyAlignment="1">
      <alignment horizontal="left" vertical="center" wrapText="1"/>
    </xf>
    <xf numFmtId="1" fontId="58" fillId="0" borderId="1" xfId="0" applyNumberFormat="1" applyFont="1" applyBorder="1" applyAlignment="1" applyProtection="1">
      <alignment horizontal="center" vertical="center"/>
      <protection locked="0"/>
    </xf>
    <xf numFmtId="2" fontId="58" fillId="0" borderId="2" xfId="0" applyNumberFormat="1" applyFont="1" applyBorder="1" applyAlignment="1" applyProtection="1">
      <alignment vertical="center" wrapText="1"/>
      <protection locked="0"/>
    </xf>
    <xf numFmtId="2" fontId="58" fillId="0" borderId="1" xfId="0" applyNumberFormat="1" applyFont="1" applyBorder="1" applyAlignment="1" applyProtection="1">
      <alignment horizontal="center" vertical="center" wrapText="1"/>
      <protection locked="0"/>
    </xf>
    <xf numFmtId="2" fontId="58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>
      <alignment horizontal="center" vertical="center"/>
    </xf>
    <xf numFmtId="0" fontId="58" fillId="0" borderId="1" xfId="6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58" fillId="7" borderId="1" xfId="3" applyFont="1" applyFill="1" applyBorder="1" applyAlignment="1" applyProtection="1">
      <alignment horizontal="center" vertical="center" wrapText="1"/>
      <protection locked="0"/>
    </xf>
    <xf numFmtId="1" fontId="58" fillId="4" borderId="1" xfId="3" applyNumberFormat="1" applyFont="1" applyFill="1" applyBorder="1" applyAlignment="1">
      <alignment horizontal="center" vertical="center" wrapText="1"/>
    </xf>
    <xf numFmtId="2" fontId="58" fillId="4" borderId="2" xfId="3" applyNumberFormat="1" applyFont="1" applyFill="1" applyBorder="1" applyAlignment="1">
      <alignment horizontal="left" vertical="center" wrapText="1"/>
    </xf>
    <xf numFmtId="2" fontId="58" fillId="4" borderId="4" xfId="3" applyNumberFormat="1" applyFont="1" applyFill="1" applyBorder="1" applyAlignment="1">
      <alignment horizontal="left" vertical="center" wrapText="1"/>
    </xf>
    <xf numFmtId="2" fontId="58" fillId="4" borderId="3" xfId="3" applyNumberFormat="1" applyFont="1" applyFill="1" applyBorder="1" applyAlignment="1">
      <alignment horizontal="left" vertical="center" wrapText="1"/>
    </xf>
    <xf numFmtId="4" fontId="58" fillId="4" borderId="1" xfId="5" applyNumberFormat="1" applyFont="1" applyFill="1" applyBorder="1" applyAlignment="1" applyProtection="1">
      <alignment horizontal="center" vertical="center" wrapText="1"/>
    </xf>
    <xf numFmtId="4" fontId="58" fillId="7" borderId="1" xfId="5" applyNumberFormat="1" applyFont="1" applyFill="1" applyBorder="1" applyAlignment="1" applyProtection="1">
      <alignment horizontal="center" vertical="center" wrapText="1"/>
    </xf>
    <xf numFmtId="0" fontId="49" fillId="0" borderId="0" xfId="0" applyFont="1" applyProtection="1">
      <protection locked="0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165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vertical="center"/>
    </xf>
    <xf numFmtId="0" fontId="49" fillId="0" borderId="0" xfId="0" applyFont="1" applyAlignment="1" applyProtection="1">
      <alignment horizontal="center" vertical="center"/>
      <protection locked="0"/>
    </xf>
    <xf numFmtId="0" fontId="58" fillId="0" borderId="0" xfId="6" applyFont="1" applyProtection="1">
      <protection locked="0"/>
    </xf>
    <xf numFmtId="0" fontId="49" fillId="0" borderId="0" xfId="0" applyFont="1"/>
    <xf numFmtId="0" fontId="49" fillId="0" borderId="0" xfId="6" applyFo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 applyProtection="1">
      <alignment vertical="center" wrapText="1"/>
      <protection locked="0"/>
    </xf>
    <xf numFmtId="165" fontId="10" fillId="0" borderId="1" xfId="63" applyNumberFormat="1" applyFont="1" applyBorder="1" applyAlignment="1">
      <alignment horizontal="center" vertical="center" wrapText="1"/>
    </xf>
    <xf numFmtId="0" fontId="9" fillId="36" borderId="0" xfId="0" applyFont="1" applyFill="1"/>
    <xf numFmtId="0" fontId="8" fillId="0" borderId="1" xfId="112" applyFont="1" applyBorder="1" applyAlignment="1">
      <alignment horizontal="center" vertical="center" wrapText="1"/>
    </xf>
    <xf numFmtId="49" fontId="6" fillId="5" borderId="1" xfId="62" quotePrefix="1" applyNumberFormat="1" applyFont="1" applyFill="1" applyBorder="1" applyAlignment="1">
      <alignment horizontal="left" vertical="center" wrapText="1"/>
    </xf>
    <xf numFmtId="0" fontId="6" fillId="5" borderId="1" xfId="62" applyFont="1" applyFill="1" applyBorder="1" applyAlignment="1">
      <alignment horizontal="left" vertical="center" wrapText="1"/>
    </xf>
    <xf numFmtId="2" fontId="6" fillId="5" borderId="1" xfId="62" quotePrefix="1" applyNumberFormat="1" applyFont="1" applyFill="1" applyBorder="1" applyAlignment="1">
      <alignment horizontal="left" vertical="center" wrapText="1"/>
    </xf>
    <xf numFmtId="2" fontId="6" fillId="5" borderId="1" xfId="62" applyNumberFormat="1" applyFont="1" applyFill="1" applyBorder="1" applyAlignment="1">
      <alignment horizontal="left" vertical="center" wrapText="1"/>
    </xf>
    <xf numFmtId="0" fontId="6" fillId="3" borderId="1" xfId="62" applyFont="1" applyFill="1" applyBorder="1" applyAlignment="1">
      <alignment vertical="center" wrapText="1"/>
    </xf>
    <xf numFmtId="0" fontId="6" fillId="5" borderId="1" xfId="62" quotePrefix="1" applyFont="1" applyFill="1" applyBorder="1" applyAlignment="1">
      <alignment horizontal="left" vertical="center" wrapText="1"/>
    </xf>
    <xf numFmtId="0" fontId="56" fillId="0" borderId="0" xfId="6" applyFont="1" applyAlignment="1" applyProtection="1">
      <alignment horizontal="center"/>
      <protection locked="0"/>
    </xf>
    <xf numFmtId="4" fontId="6" fillId="6" borderId="1" xfId="112" applyNumberFormat="1" applyFont="1" applyFill="1" applyBorder="1" applyAlignment="1">
      <alignment horizontal="center" vertical="center" wrapText="1"/>
    </xf>
    <xf numFmtId="4" fontId="14" fillId="6" borderId="1" xfId="112" applyNumberFormat="1" applyFont="1" applyFill="1" applyBorder="1" applyAlignment="1">
      <alignment horizontal="center" vertical="center" wrapText="1"/>
    </xf>
    <xf numFmtId="0" fontId="6" fillId="2" borderId="1" xfId="1" quotePrefix="1" applyFont="1" applyFill="1" applyBorder="1" applyAlignment="1">
      <alignment horizontal="center" vertical="center" wrapText="1"/>
    </xf>
    <xf numFmtId="165" fontId="53" fillId="2" borderId="2" xfId="1" applyNumberFormat="1" applyFont="1" applyFill="1" applyBorder="1" applyAlignment="1">
      <alignment horizontal="center" vertical="center" wrapText="1"/>
    </xf>
    <xf numFmtId="165" fontId="53" fillId="2" borderId="4" xfId="1" applyNumberFormat="1" applyFont="1" applyFill="1" applyBorder="1" applyAlignment="1">
      <alignment horizontal="center" vertical="center" wrapText="1"/>
    </xf>
    <xf numFmtId="165" fontId="53" fillId="2" borderId="3" xfId="1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8" fillId="7" borderId="1" xfId="3" applyFont="1" applyFill="1" applyBorder="1" applyAlignment="1" applyProtection="1">
      <alignment horizontal="left" vertical="center" wrapText="1"/>
      <protection locked="0"/>
    </xf>
    <xf numFmtId="4" fontId="14" fillId="6" borderId="1" xfId="0" applyNumberFormat="1" applyFont="1" applyFill="1" applyBorder="1" applyAlignment="1">
      <alignment horizontal="center" vertical="center" wrapText="1"/>
    </xf>
    <xf numFmtId="0" fontId="53" fillId="7" borderId="1" xfId="4" quotePrefix="1" applyFont="1" applyFill="1" applyBorder="1" applyAlignment="1">
      <alignment horizontal="center" vertical="center" wrapText="1"/>
    </xf>
    <xf numFmtId="2" fontId="8" fillId="4" borderId="1" xfId="3" applyNumberFormat="1" applyFont="1" applyFill="1" applyBorder="1" applyAlignment="1">
      <alignment horizontal="left" vertical="center" wrapText="1"/>
    </xf>
    <xf numFmtId="0" fontId="8" fillId="7" borderId="1" xfId="3" applyFont="1" applyFill="1" applyBorder="1" applyAlignment="1" applyProtection="1">
      <alignment horizontal="center" vertical="center" wrapText="1"/>
      <protection locked="0"/>
    </xf>
    <xf numFmtId="2" fontId="8" fillId="4" borderId="2" xfId="3" applyNumberFormat="1" applyFont="1" applyFill="1" applyBorder="1" applyAlignment="1">
      <alignment horizontal="left" vertical="center" wrapText="1"/>
    </xf>
    <xf numFmtId="2" fontId="8" fillId="4" borderId="4" xfId="3" applyNumberFormat="1" applyFont="1" applyFill="1" applyBorder="1" applyAlignment="1">
      <alignment horizontal="left" vertical="center" wrapText="1"/>
    </xf>
    <xf numFmtId="2" fontId="8" fillId="4" borderId="3" xfId="3" applyNumberFormat="1" applyFont="1" applyFill="1" applyBorder="1" applyAlignment="1">
      <alignment horizontal="left" vertical="center" wrapText="1"/>
    </xf>
    <xf numFmtId="0" fontId="49" fillId="8" borderId="1" xfId="0" applyFont="1" applyFill="1" applyBorder="1" applyAlignment="1">
      <alignment horizontal="left" vertical="center" wrapText="1"/>
    </xf>
    <xf numFmtId="4" fontId="59" fillId="6" borderId="1" xfId="0" applyNumberFormat="1" applyFont="1" applyFill="1" applyBorder="1" applyAlignment="1">
      <alignment horizontal="center" vertical="center" wrapText="1"/>
    </xf>
    <xf numFmtId="0" fontId="61" fillId="7" borderId="1" xfId="4" quotePrefix="1" applyFont="1" applyFill="1" applyBorder="1" applyAlignment="1">
      <alignment horizontal="center" vertical="center" wrapText="1"/>
    </xf>
    <xf numFmtId="0" fontId="58" fillId="7" borderId="1" xfId="3" applyFont="1" applyFill="1" applyBorder="1" applyAlignment="1" applyProtection="1">
      <alignment horizontal="center" vertical="center" wrapText="1"/>
      <protection locked="0"/>
    </xf>
    <xf numFmtId="2" fontId="58" fillId="4" borderId="2" xfId="3" applyNumberFormat="1" applyFont="1" applyFill="1" applyBorder="1" applyAlignment="1">
      <alignment horizontal="left" vertical="center" wrapText="1"/>
    </xf>
    <xf numFmtId="2" fontId="58" fillId="4" borderId="4" xfId="3" applyNumberFormat="1" applyFont="1" applyFill="1" applyBorder="1" applyAlignment="1">
      <alignment horizontal="left" vertical="center" wrapText="1"/>
    </xf>
    <xf numFmtId="2" fontId="58" fillId="4" borderId="3" xfId="3" applyNumberFormat="1" applyFont="1" applyFill="1" applyBorder="1" applyAlignment="1">
      <alignment horizontal="left" vertical="center" wrapText="1"/>
    </xf>
    <xf numFmtId="0" fontId="58" fillId="7" borderId="1" xfId="3" applyFont="1" applyFill="1" applyBorder="1" applyAlignment="1" applyProtection="1">
      <alignment horizontal="left" vertical="center" wrapText="1"/>
      <protection locked="0"/>
    </xf>
    <xf numFmtId="0" fontId="44" fillId="30" borderId="1" xfId="4" applyFont="1" applyFill="1" applyBorder="1" applyAlignment="1">
      <alignment horizontal="left" vertical="center" wrapText="1"/>
    </xf>
  </cellXfs>
  <cellStyles count="115">
    <cellStyle name="20% - Accent1 2" xfId="7" xr:uid="{9B52B9BE-C555-497B-83BB-946619811280}"/>
    <cellStyle name="20% - Accent2 2" xfId="8" xr:uid="{349EFEE9-5314-4411-BE6B-A036E2710823}"/>
    <cellStyle name="20% - Accent3 2" xfId="9" xr:uid="{160689E6-AADF-4647-800F-509F13EE406B}"/>
    <cellStyle name="20% - Accent4 2" xfId="10" xr:uid="{D4C4B24B-9A03-4F6B-BBA9-769947007D7F}"/>
    <cellStyle name="20% - Accent5 2" xfId="11" xr:uid="{0E22ECF8-BA8E-4698-A36C-B0F14B087A92}"/>
    <cellStyle name="20% - Accent6 2" xfId="12" xr:uid="{44122BF8-15AB-49E0-ABBB-DDA5B2A4BA8F}"/>
    <cellStyle name="40% - Accent1 2" xfId="13" xr:uid="{718D67D4-2E51-46ED-B718-332176653465}"/>
    <cellStyle name="40% - Accent2 2" xfId="14" xr:uid="{08854389-1103-4AF1-B4C4-B35FFDB1FAF3}"/>
    <cellStyle name="40% - Accent3 2" xfId="15" xr:uid="{29F43E78-575B-468B-B51F-CD12B98FCBDB}"/>
    <cellStyle name="40% - Accent4 2" xfId="16" xr:uid="{22EF959E-E4A4-4BF3-A30C-4995B1698FBF}"/>
    <cellStyle name="40% - Accent5 2" xfId="17" xr:uid="{8E2988AB-8CCB-4C4E-B5EC-4CA27E81AB49}"/>
    <cellStyle name="40% - Accent6 2" xfId="18" xr:uid="{120F349E-1E42-4962-BA6E-1A1EA1DA1863}"/>
    <cellStyle name="60% - Accent1 2" xfId="19" xr:uid="{9453A94C-BA55-4BA8-ABC5-2241BCD1A543}"/>
    <cellStyle name="60% - Accent2 2" xfId="20" xr:uid="{6231D975-6EAB-422C-9EB2-F74186539520}"/>
    <cellStyle name="60% - Accent3 2" xfId="21" xr:uid="{6B3E57CE-74C7-401A-B28C-69A9249924E6}"/>
    <cellStyle name="60% - Accent4 2" xfId="22" xr:uid="{2CAC7670-37D7-4DBB-8EB0-4000160D97DB}"/>
    <cellStyle name="60% - Accent5 2" xfId="23" xr:uid="{F65459B1-2CFA-460F-ADBC-2C28F01FDA8C}"/>
    <cellStyle name="60% - Accent6 2" xfId="24" xr:uid="{2524DDC7-22D0-43AE-BCC1-8F7CC1BFCE4D}"/>
    <cellStyle name="Accent1 2" xfId="25" xr:uid="{DF6AAF18-F6A1-4AA1-A68B-B1C47813F947}"/>
    <cellStyle name="Accent2 2" xfId="26" xr:uid="{FFF061F0-7FA0-466E-9A72-50153945E0B7}"/>
    <cellStyle name="Accent3 2" xfId="27" xr:uid="{BA873FDA-535B-4CE3-B956-31F3C485E652}"/>
    <cellStyle name="Accent4 2" xfId="28" xr:uid="{00D4DF7F-DEFC-4B4C-BC11-662E4F77F780}"/>
    <cellStyle name="Accent5 2" xfId="29" xr:uid="{FB718EB0-6FA8-4064-AE6A-76A87963AFD7}"/>
    <cellStyle name="Accent6 2" xfId="30" xr:uid="{6E6A8AEA-20B6-4F6E-A0C8-73BBE6A58FF5}"/>
    <cellStyle name="Bad 2" xfId="31" xr:uid="{1EEA5BD3-B384-4B08-8A4C-A8AAD54E2209}"/>
    <cellStyle name="Bad 3" xfId="32" xr:uid="{95132706-282F-4A0B-BAFE-6605436F6613}"/>
    <cellStyle name="Calculation 2" xfId="33" xr:uid="{1D5AE594-4FA7-4EBB-B1BE-7A2420EC1B1C}"/>
    <cellStyle name="Check Cell 2" xfId="34" xr:uid="{FB3AC8A7-2225-43AD-B307-45930F982BF4}"/>
    <cellStyle name="Comma" xfId="114" builtinId="3"/>
    <cellStyle name="Comma 2" xfId="36" xr:uid="{295B1F63-F67A-4EF0-861B-C22B0C9525B5}"/>
    <cellStyle name="Comma 2 2" xfId="37" xr:uid="{341E1179-D27F-42AE-BEDE-5E2AD45CD480}"/>
    <cellStyle name="Comma 2 5" xfId="38" xr:uid="{96B32A3E-AAB6-4BFC-9766-46EC53EA8AAE}"/>
    <cellStyle name="Comma 3" xfId="39" xr:uid="{BF1A3AD2-D435-4699-B8DA-13AABE46A6C3}"/>
    <cellStyle name="Comma 3 2" xfId="40" xr:uid="{DAE39A77-9B9F-4D58-987B-4B015B49BFB9}"/>
    <cellStyle name="Comma 4" xfId="41" xr:uid="{31FDAF34-29C3-4281-B4F4-6F37D0D13B68}"/>
    <cellStyle name="Comma 4 3" xfId="42" xr:uid="{4989C63D-E8E1-45D5-834E-180D8F29274A}"/>
    <cellStyle name="Comma 5" xfId="43" xr:uid="{C1B53013-AE55-47CC-B986-0D7F06FB454D}"/>
    <cellStyle name="Comma 5 2" xfId="113" xr:uid="{146D8284-5D14-45DB-8F14-4F1B984DB59D}"/>
    <cellStyle name="Currency 2" xfId="44" xr:uid="{0EC12AAB-2DE7-408E-8C7C-B5EDBD3CFD82}"/>
    <cellStyle name="Currency 2 2" xfId="45" xr:uid="{132E23DE-0368-4543-81EF-EE7983FDD340}"/>
    <cellStyle name="Currency 3" xfId="46" xr:uid="{F9B16D12-DAE0-4D9E-B09C-F33FCC56D6BF}"/>
    <cellStyle name="Currency 3 2" xfId="47" xr:uid="{A98D2893-53EE-4FA1-BC0E-57DD263EA1A6}"/>
    <cellStyle name="Currency 4" xfId="5" xr:uid="{B4C7AABC-E91E-4726-85F9-42291C312C00}"/>
    <cellStyle name="Currency 5" xfId="48" xr:uid="{7743B5DE-2785-4C83-AD39-607F58C5205B}"/>
    <cellStyle name="Excel Built-in Normal" xfId="49" xr:uid="{DD770784-E296-4235-9E2E-F3C73C106ED9}"/>
    <cellStyle name="Explanatory Text 2" xfId="50" xr:uid="{3396CDD6-5A41-4326-9AC1-13E1F5A59E65}"/>
    <cellStyle name="Good 2" xfId="51" xr:uid="{1B715D54-4508-4999-BCFA-BA1A5CA30D21}"/>
    <cellStyle name="Good 2 2" xfId="52" xr:uid="{FA6CDBB7-E61B-455E-9395-009522F4C4D8}"/>
    <cellStyle name="Good 3" xfId="53" xr:uid="{D1A8502F-F878-487F-97CF-0DE83D5C134F}"/>
    <cellStyle name="Heading 1 2" xfId="54" xr:uid="{0C266653-5A4A-47AE-A9B1-DD0ADD3C0B57}"/>
    <cellStyle name="Heading 2 2" xfId="55" xr:uid="{D2B0A841-3A56-405C-A00B-6B9E1D4EB97F}"/>
    <cellStyle name="Heading 3 2" xfId="56" xr:uid="{909D5AD2-CEA5-4A92-8F2B-E75322B091F5}"/>
    <cellStyle name="Heading 4 2" xfId="57" xr:uid="{69823FFA-D9B7-4423-A831-079D7151DC53}"/>
    <cellStyle name="Input 2" xfId="58" xr:uid="{BF9A93CE-C759-40C2-A2AF-121E9B09903B}"/>
    <cellStyle name="Linked Cell 2" xfId="59" xr:uid="{1FF2D0AC-671C-485E-AB41-52F20C6A9259}"/>
    <cellStyle name="Neutral 2" xfId="60" xr:uid="{74616AAA-90F3-4AA8-8940-F00B09C69359}"/>
    <cellStyle name="Normal" xfId="0" builtinId="0"/>
    <cellStyle name="Normal 10" xfId="61" xr:uid="{6C9C42BC-4DF0-42FD-8B0A-F35D942B01F5}"/>
    <cellStyle name="Normal 11" xfId="62" xr:uid="{B7EDAF80-A1E5-4139-827C-F02EF61444C2}"/>
    <cellStyle name="Normal 14" xfId="63" xr:uid="{D0564B1A-1438-48D2-99F0-FDFCB0542A87}"/>
    <cellStyle name="Normal 15" xfId="64" xr:uid="{8C434782-DE9C-4FD6-A7AD-993C98F76E93}"/>
    <cellStyle name="Normal 2" xfId="65" xr:uid="{29767AFE-3CD8-4CA7-A743-FF3B69BE9AAF}"/>
    <cellStyle name="Normal 2 2" xfId="66" xr:uid="{0AC4E2EF-11D2-4B36-BFE1-B932A8D77732}"/>
    <cellStyle name="Normal 2 4 2" xfId="67" xr:uid="{C1F70FF1-F5E9-439A-9A22-E4AB3722636A}"/>
    <cellStyle name="Normal 3" xfId="1" xr:uid="{E5229357-13AF-4D81-A8DF-48E99EDEF851}"/>
    <cellStyle name="Normal 3 2" xfId="68" xr:uid="{C83F205E-D93D-4CE6-B1A0-CFCADC6C2621}"/>
    <cellStyle name="Normal 3 3" xfId="69" xr:uid="{8E0E57D0-8B78-4F90-85F0-29D93282C512}"/>
    <cellStyle name="Normal 32 2 3" xfId="70" xr:uid="{1E9D7E33-11E1-4E08-A9E5-CC523360C887}"/>
    <cellStyle name="Normal 32 2 3 2" xfId="71" xr:uid="{38EC0F95-2095-42A6-8880-850271CFD08E}"/>
    <cellStyle name="Normal 35" xfId="72" xr:uid="{01C599D1-E151-4664-A207-90C837B125C0}"/>
    <cellStyle name="Normal 36" xfId="73" xr:uid="{82D15CC7-1993-44C6-BC0F-DB0C53603D76}"/>
    <cellStyle name="Normal 38" xfId="74" xr:uid="{4C9DCD30-B9C6-4FA0-819F-44CAC2A5924A}"/>
    <cellStyle name="Normal 4" xfId="75" xr:uid="{1F2875EA-96C3-4941-869C-825E7EB2F4A1}"/>
    <cellStyle name="Normal 4 2" xfId="76" xr:uid="{F9FA57D6-52B2-4769-BF48-324551D5F5F0}"/>
    <cellStyle name="Normal 4 2 2" xfId="77" xr:uid="{D9CB31B0-D120-4F44-9E09-C79A1AB666E7}"/>
    <cellStyle name="Normal 5" xfId="78" xr:uid="{0A18E1CF-737B-45F3-B674-6A1FBAAE90B0}"/>
    <cellStyle name="Normal 5 2" xfId="79" xr:uid="{064332A2-EB00-42E0-9F12-A08FBA8C82A8}"/>
    <cellStyle name="Normal 6" xfId="3" xr:uid="{2991071B-C463-4351-8CDE-03B46BA448B9}"/>
    <cellStyle name="Normal 6 2" xfId="80" xr:uid="{B3CD84B9-ADD1-4CAF-9EAA-8642CA53BBE2}"/>
    <cellStyle name="Normal 7" xfId="81" xr:uid="{EB917EF2-7330-4E49-955D-D2C2FC2175D3}"/>
    <cellStyle name="Normal 8" xfId="82" xr:uid="{2B9119C4-B4B8-4CFC-AB60-2E7123AE9B2A}"/>
    <cellStyle name="Normal 9" xfId="83" xr:uid="{14F4D758-4817-418E-8B93-0ECD54BCDA04}"/>
    <cellStyle name="Normal 9 2" xfId="84" xr:uid="{EDC309C0-8109-4BF5-9700-6346EFB940EB}"/>
    <cellStyle name="Note 2" xfId="85" xr:uid="{04E331A7-99EB-4347-80A5-CDFAA5DDF941}"/>
    <cellStyle name="Output 2" xfId="86" xr:uid="{F81B0E60-5341-4146-A808-D38896B03864}"/>
    <cellStyle name="Percent 2" xfId="87" xr:uid="{3C1C0305-1838-4F15-B0AC-1B02DE79824B}"/>
    <cellStyle name="Title 2" xfId="88" xr:uid="{D7AFFD9E-9B25-4C91-9023-0593AB498538}"/>
    <cellStyle name="Total 2" xfId="89" xr:uid="{C3A15572-C40F-45E3-9A3E-1351C098282C}"/>
    <cellStyle name="Warning Text 2" xfId="90" xr:uid="{4B02E988-4DA2-4901-9144-536D14D17ECE}"/>
    <cellStyle name="Денежный 2" xfId="91" xr:uid="{F693D000-B117-44C2-A6E5-1D76A567F5B2}"/>
    <cellStyle name="Денежный 3" xfId="92" xr:uid="{F8519F54-86B7-4F1F-96EC-D128C640862A}"/>
    <cellStyle name="Обычный 2" xfId="6" xr:uid="{8E0EBCAC-2E42-4FC4-9CDE-10E17B1DBCFD}"/>
    <cellStyle name="Обычный 2 2" xfId="93" xr:uid="{C43893D4-3E51-44CD-BACF-E9071E20E078}"/>
    <cellStyle name="Обычный 3" xfId="94" xr:uid="{7D281CAB-4601-4691-A6FA-90B0A0B70B5B}"/>
    <cellStyle name="Обычный 4" xfId="95" xr:uid="{09C0AF01-1007-4A9F-8C1F-FEE06DE50669}"/>
    <cellStyle name="Обычный 5" xfId="96" xr:uid="{75342459-2CB3-430B-8255-FD183E6A1DB4}"/>
    <cellStyle name="Обычный 5 2" xfId="110" xr:uid="{08C916F7-E3DF-44E3-B4E8-634BE7C302E9}"/>
    <cellStyle name="Обычный 6" xfId="97" xr:uid="{31ADB881-ABC4-4BCF-81D9-50A0C5AC1078}"/>
    <cellStyle name="Обычный 6 2" xfId="98" xr:uid="{6CCF712D-3593-4E9E-8A7D-6E1BC6C388B7}"/>
    <cellStyle name="Обычный 6 3" xfId="99" xr:uid="{381D45C7-2BBC-4067-A6CA-F740707A141C}"/>
    <cellStyle name="Обычный 7" xfId="4" xr:uid="{D50B1DF4-4524-4BDA-B667-319821A17B4A}"/>
    <cellStyle name="Обычный 8" xfId="100" xr:uid="{A3FF8F45-4477-40BE-867E-3E29DD7A10F4}"/>
    <cellStyle name="Обычный 9" xfId="112" xr:uid="{3747C2ED-B90A-4A96-92E4-56D2ED570C43}"/>
    <cellStyle name="Процентный 2" xfId="111" xr:uid="{EE5A49FB-2628-48BF-B0FD-9434EC8626C5}"/>
    <cellStyle name="Финансовый 2" xfId="101" xr:uid="{4CE7A3CB-A343-4574-B665-89197E2DBBBD}"/>
    <cellStyle name="Финансовый 2 2" xfId="102" xr:uid="{8E50F564-261D-4034-91F6-AECD84F455D7}"/>
    <cellStyle name="Финансовый 2 2 2" xfId="103" xr:uid="{75E5818B-D97E-4405-9FCC-8A6CCDD93617}"/>
    <cellStyle name="Финансовый 2 3" xfId="104" xr:uid="{B052F58B-244B-4096-B634-3C404048F2E5}"/>
    <cellStyle name="Финансовый 2 4" xfId="105" xr:uid="{9F7A1E38-9B71-4B80-BF16-7DD2F5083221}"/>
    <cellStyle name="Финансовый 2 4 2" xfId="106" xr:uid="{D1799A61-EE6B-4308-AD76-8CA2E0DF3B40}"/>
    <cellStyle name="Финансовый 2 5" xfId="107" xr:uid="{BEDD37FF-DED7-4174-9600-0D0959CD71CE}"/>
    <cellStyle name="Финансовый 3" xfId="108" xr:uid="{CC67918E-7221-46C7-BA44-7262D1D9C93C}"/>
    <cellStyle name="Финансовый 4" xfId="35" xr:uid="{86980533-055C-4643-9D91-8C4FBC12F3E7}"/>
    <cellStyle name="Финансовый 5" xfId="2" xr:uid="{3102A80A-7202-4D1D-BE37-1067A358DCA2}"/>
    <cellStyle name="Финансовый 5 2" xfId="109" xr:uid="{0B0AB6E7-883F-4E96-B3F3-BA4F38449301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3FC58-775C-45C0-9D58-333F34C575A7}">
  <sheetPr>
    <tabColor rgb="FF92D050"/>
  </sheetPr>
  <dimension ref="A1:L35"/>
  <sheetViews>
    <sheetView tabSelected="1" view="pageBreakPreview" zoomScaleNormal="100" zoomScaleSheetLayoutView="100" workbookViewId="0">
      <selection activeCell="K11" sqref="K11"/>
    </sheetView>
  </sheetViews>
  <sheetFormatPr defaultColWidth="13.140625" defaultRowHeight="15.75"/>
  <cols>
    <col min="1" max="1" width="8.5703125" style="57" customWidth="1"/>
    <col min="2" max="5" width="18" style="57" customWidth="1"/>
    <col min="6" max="6" width="21" style="57" customWidth="1"/>
    <col min="7" max="7" width="25.85546875" style="57" customWidth="1"/>
    <col min="8" max="8" width="16.5703125" style="57" bestFit="1" customWidth="1"/>
    <col min="9" max="16384" width="13.140625" style="57"/>
  </cols>
  <sheetData>
    <row r="1" spans="1:7" s="85" customFormat="1" ht="15">
      <c r="A1" s="79"/>
      <c r="B1" s="79"/>
      <c r="C1" s="79"/>
    </row>
    <row r="2" spans="1:7" s="85" customFormat="1" ht="15">
      <c r="A2" s="79"/>
      <c r="B2" s="79"/>
      <c r="C2" s="79"/>
    </row>
    <row r="3" spans="1:7" s="85" customFormat="1" ht="15">
      <c r="A3" s="204" t="s">
        <v>117</v>
      </c>
      <c r="B3" s="204"/>
      <c r="C3" s="204"/>
      <c r="D3" s="204"/>
      <c r="E3" s="204"/>
      <c r="F3" s="204"/>
      <c r="G3" s="204"/>
    </row>
    <row r="4" spans="1:7" s="85" customFormat="1" ht="15">
      <c r="A4" s="79"/>
      <c r="B4" s="79"/>
      <c r="C4" s="79"/>
    </row>
    <row r="5" spans="1:7" s="85" customFormat="1" ht="15">
      <c r="A5" s="79"/>
      <c r="B5" s="79"/>
      <c r="C5" s="79"/>
    </row>
    <row r="6" spans="1:7" s="77" customFormat="1" ht="15">
      <c r="A6" s="74"/>
      <c r="B6" s="74"/>
      <c r="C6" s="74"/>
    </row>
    <row r="7" spans="1:7" s="77" customFormat="1" ht="15">
      <c r="A7" s="74"/>
      <c r="B7" s="86"/>
      <c r="C7" s="74"/>
    </row>
    <row r="8" spans="1:7" s="77" customFormat="1" ht="15">
      <c r="A8" s="74"/>
      <c r="B8" s="86"/>
      <c r="C8" s="74"/>
    </row>
    <row r="9" spans="1:7" s="51" customFormat="1" ht="15">
      <c r="A9" s="74"/>
      <c r="B9" s="86"/>
      <c r="C9" s="74"/>
      <c r="D9" s="52"/>
      <c r="E9" s="52"/>
      <c r="F9" s="52"/>
      <c r="G9" s="52"/>
    </row>
    <row r="10" spans="1:7" s="53" customFormat="1">
      <c r="A10" s="74"/>
      <c r="B10" s="86"/>
      <c r="C10" s="74"/>
      <c r="F10" s="54" t="s">
        <v>107</v>
      </c>
      <c r="G10" s="55"/>
    </row>
    <row r="11" spans="1:7" s="56" customFormat="1" ht="33.6" customHeight="1">
      <c r="A11" s="205" t="s">
        <v>108</v>
      </c>
      <c r="B11" s="205"/>
      <c r="C11" s="205"/>
      <c r="D11" s="205"/>
      <c r="E11" s="205"/>
      <c r="F11" s="205"/>
      <c r="G11" s="205"/>
    </row>
    <row r="12" spans="1:7" ht="54" customHeight="1">
      <c r="A12" s="206" t="s">
        <v>1015</v>
      </c>
      <c r="B12" s="206"/>
      <c r="C12" s="206"/>
      <c r="D12" s="206"/>
      <c r="E12" s="206"/>
      <c r="F12" s="206"/>
      <c r="G12" s="206"/>
    </row>
    <row r="13" spans="1:7" ht="61.5" customHeight="1">
      <c r="A13" s="207" t="s">
        <v>1016</v>
      </c>
      <c r="B13" s="207"/>
      <c r="C13" s="207"/>
      <c r="D13" s="207"/>
      <c r="E13" s="207"/>
      <c r="F13" s="207"/>
      <c r="G13" s="207"/>
    </row>
    <row r="14" spans="1:7" ht="43.35" customHeight="1">
      <c r="A14" s="58" t="s">
        <v>109</v>
      </c>
      <c r="B14" s="208" t="s">
        <v>110</v>
      </c>
      <c r="C14" s="209"/>
      <c r="D14" s="209"/>
      <c r="E14" s="209"/>
      <c r="F14" s="210"/>
      <c r="G14" s="59" t="s">
        <v>111</v>
      </c>
    </row>
    <row r="15" spans="1:7" ht="23.45" customHeight="1">
      <c r="A15" s="60" t="s">
        <v>0</v>
      </c>
      <c r="B15" s="203" t="str">
        <f>A!B5</f>
        <v>Бурение скважины / Borehole drilling</v>
      </c>
      <c r="C15" s="199"/>
      <c r="D15" s="199"/>
      <c r="E15" s="199"/>
      <c r="F15" s="199"/>
      <c r="G15" s="61">
        <f>A!F100</f>
        <v>0</v>
      </c>
    </row>
    <row r="16" spans="1:7" ht="23.45" customHeight="1">
      <c r="A16" s="60" t="s">
        <v>3</v>
      </c>
      <c r="B16" s="198" t="str">
        <f>B!B5</f>
        <v>Наружные сети водоснабжения / External water supply networks</v>
      </c>
      <c r="C16" s="199"/>
      <c r="D16" s="199"/>
      <c r="E16" s="199"/>
      <c r="F16" s="199"/>
      <c r="G16" s="61">
        <f>B!F232</f>
        <v>0</v>
      </c>
    </row>
    <row r="17" spans="1:12" ht="23.45" customHeight="1">
      <c r="A17" s="60" t="s">
        <v>4</v>
      </c>
      <c r="B17" s="200" t="str">
        <f>'C'!B5</f>
        <v>Площадка-зона 1 / Site-zone 1</v>
      </c>
      <c r="C17" s="201"/>
      <c r="D17" s="201"/>
      <c r="E17" s="201"/>
      <c r="F17" s="201"/>
      <c r="G17" s="61">
        <f>'C'!F146</f>
        <v>0</v>
      </c>
    </row>
    <row r="18" spans="1:12" ht="23.45" customHeight="1">
      <c r="A18" s="60" t="s">
        <v>5</v>
      </c>
      <c r="B18" s="200" t="str">
        <f>D!B5</f>
        <v>Резервуар 150м3 / Reservoir 150m3</v>
      </c>
      <c r="C18" s="201"/>
      <c r="D18" s="201"/>
      <c r="E18" s="201"/>
      <c r="F18" s="201"/>
      <c r="G18" s="61">
        <f>D!F91</f>
        <v>0</v>
      </c>
      <c r="H18" s="116"/>
      <c r="I18" s="116"/>
      <c r="J18" s="116"/>
      <c r="K18" s="116"/>
      <c r="L18" s="116"/>
    </row>
    <row r="19" spans="1:12" ht="23.45" customHeight="1">
      <c r="A19" s="60" t="s">
        <v>6</v>
      </c>
      <c r="B19" s="198" t="str">
        <f>E!B5</f>
        <v>Площадка водозабора н-стации 1-го подъма  /'Water intake site</v>
      </c>
      <c r="C19" s="199"/>
      <c r="D19" s="199"/>
      <c r="E19" s="199"/>
      <c r="F19" s="199"/>
      <c r="G19" s="113">
        <f>E!F113</f>
        <v>0</v>
      </c>
      <c r="H19" s="116"/>
      <c r="I19" s="116"/>
      <c r="J19" s="116"/>
      <c r="K19" s="116"/>
      <c r="L19" s="116"/>
    </row>
    <row r="20" spans="1:12" ht="23.45" customHeight="1">
      <c r="A20" s="60" t="s">
        <v>94</v>
      </c>
      <c r="B20" s="203" t="str">
        <f>F!B5</f>
        <v>Хлораторная / Chlorinator</v>
      </c>
      <c r="C20" s="199"/>
      <c r="D20" s="199"/>
      <c r="E20" s="199"/>
      <c r="F20" s="199"/>
      <c r="G20" s="113">
        <f>F!F80</f>
        <v>0</v>
      </c>
      <c r="H20" s="116"/>
      <c r="I20" s="116"/>
      <c r="J20" s="116"/>
      <c r="K20" s="116"/>
      <c r="L20" s="116"/>
    </row>
    <row r="21" spans="1:12" ht="23.45" customHeight="1">
      <c r="A21" s="60" t="s">
        <v>143</v>
      </c>
      <c r="B21" s="198" t="str">
        <f>G!B5</f>
        <v xml:space="preserve">  Площадка- зона 2   / 'Site-zone 2</v>
      </c>
      <c r="C21" s="199"/>
      <c r="D21" s="199"/>
      <c r="E21" s="199"/>
      <c r="F21" s="199"/>
      <c r="G21" s="113">
        <f>G!F58</f>
        <v>0</v>
      </c>
      <c r="H21" s="116"/>
      <c r="I21" s="116"/>
      <c r="J21" s="116"/>
      <c r="K21" s="116"/>
      <c r="L21" s="116"/>
    </row>
    <row r="22" spans="1:12" ht="23.45" customHeight="1">
      <c r="A22" s="60" t="s">
        <v>819</v>
      </c>
      <c r="B22" s="198" t="str">
        <f>H!B5</f>
        <v>Внутриплощадочные НВ / ' On-site Water Supply</v>
      </c>
      <c r="C22" s="199"/>
      <c r="D22" s="199"/>
      <c r="E22" s="199"/>
      <c r="F22" s="199"/>
      <c r="G22" s="113">
        <f>H!F89</f>
        <v>0</v>
      </c>
      <c r="H22" s="116"/>
      <c r="I22" s="116"/>
      <c r="J22" s="116"/>
      <c r="K22" s="116"/>
      <c r="L22" s="116"/>
    </row>
    <row r="23" spans="1:12" ht="23.45" customHeight="1">
      <c r="A23" s="60" t="s">
        <v>791</v>
      </c>
      <c r="B23" s="203" t="str">
        <f>I!B5</f>
        <v>Резервуар 50м3 / Reservoir 50m3</v>
      </c>
      <c r="C23" s="199"/>
      <c r="D23" s="199"/>
      <c r="E23" s="199"/>
      <c r="F23" s="199"/>
      <c r="G23" s="113">
        <f>I!F89</f>
        <v>0</v>
      </c>
      <c r="H23" s="116"/>
      <c r="I23" s="116"/>
      <c r="J23" s="116"/>
      <c r="K23" s="116"/>
      <c r="L23" s="116"/>
    </row>
    <row r="24" spans="1:12" ht="23.45" customHeight="1">
      <c r="A24" s="60" t="s">
        <v>801</v>
      </c>
      <c r="B24" s="203" t="str">
        <f>J!B5</f>
        <v>Подготовительные работы / Preliminaries</v>
      </c>
      <c r="C24" s="199"/>
      <c r="D24" s="199"/>
      <c r="E24" s="199"/>
      <c r="F24" s="199"/>
      <c r="G24" s="113">
        <f>J!F10</f>
        <v>0</v>
      </c>
      <c r="H24" s="116"/>
      <c r="I24" s="116"/>
      <c r="J24" s="116"/>
      <c r="K24" s="116"/>
      <c r="L24" s="116"/>
    </row>
    <row r="25" spans="1:12" s="51" customFormat="1" ht="46.5" customHeight="1">
      <c r="A25" s="62"/>
      <c r="B25" s="202" t="s">
        <v>112</v>
      </c>
      <c r="C25" s="202"/>
      <c r="D25" s="202"/>
      <c r="E25" s="202"/>
      <c r="F25" s="202"/>
      <c r="G25" s="63">
        <f>SUM(G15:G24)</f>
        <v>0</v>
      </c>
      <c r="H25" s="119"/>
      <c r="I25" s="103"/>
      <c r="J25" s="103"/>
      <c r="K25" s="103"/>
    </row>
    <row r="26" spans="1:12" s="64" customFormat="1" ht="33.75" customHeight="1">
      <c r="A26" s="197" t="s">
        <v>113</v>
      </c>
      <c r="B26" s="197"/>
      <c r="C26" s="197"/>
      <c r="D26" s="197"/>
      <c r="E26" s="197"/>
      <c r="F26" s="197"/>
      <c r="G26" s="197"/>
    </row>
    <row r="27" spans="1:12">
      <c r="G27" s="114"/>
    </row>
    <row r="28" spans="1:12">
      <c r="G28" s="117"/>
      <c r="H28" s="114"/>
    </row>
    <row r="29" spans="1:12" s="77" customFormat="1">
      <c r="A29" s="74"/>
      <c r="B29" s="75" t="s">
        <v>13</v>
      </c>
      <c r="C29" s="76"/>
      <c r="E29" s="118"/>
      <c r="G29" s="118"/>
    </row>
    <row r="30" spans="1:12" s="77" customFormat="1">
      <c r="A30" s="74"/>
      <c r="B30" s="78" t="s">
        <v>14</v>
      </c>
      <c r="C30" s="76"/>
      <c r="G30" s="115"/>
    </row>
    <row r="31" spans="1:12" s="77" customFormat="1" ht="15">
      <c r="A31" s="74"/>
      <c r="B31" s="79"/>
      <c r="C31" s="76"/>
      <c r="F31" s="115"/>
      <c r="G31" s="115"/>
    </row>
    <row r="32" spans="1:12" s="77" customFormat="1" ht="15">
      <c r="A32" s="80"/>
      <c r="B32" s="80"/>
      <c r="C32" s="81"/>
      <c r="D32" s="82"/>
    </row>
    <row r="33" spans="1:6" s="77" customFormat="1" ht="15">
      <c r="A33" s="80"/>
      <c r="B33" s="80"/>
      <c r="C33" s="81"/>
      <c r="D33" s="82"/>
      <c r="F33" s="115"/>
    </row>
    <row r="34" spans="1:6" s="77" customFormat="1" ht="15">
      <c r="A34" s="80"/>
      <c r="B34" s="80" t="s">
        <v>15</v>
      </c>
      <c r="C34" s="81"/>
      <c r="D34" s="82"/>
    </row>
    <row r="35" spans="1:6" s="77" customFormat="1">
      <c r="A35" s="80"/>
      <c r="B35" s="83" t="s">
        <v>16</v>
      </c>
      <c r="C35" s="84"/>
      <c r="D35" s="82"/>
      <c r="F35" s="115"/>
    </row>
  </sheetData>
  <mergeCells count="17">
    <mergeCell ref="A3:G3"/>
    <mergeCell ref="B15:F15"/>
    <mergeCell ref="A11:G11"/>
    <mergeCell ref="A12:G12"/>
    <mergeCell ref="A13:G13"/>
    <mergeCell ref="B14:F14"/>
    <mergeCell ref="A26:G26"/>
    <mergeCell ref="B16:F16"/>
    <mergeCell ref="B17:F17"/>
    <mergeCell ref="B18:F18"/>
    <mergeCell ref="B25:F25"/>
    <mergeCell ref="B19:F19"/>
    <mergeCell ref="B20:F20"/>
    <mergeCell ref="B21:F21"/>
    <mergeCell ref="B22:F22"/>
    <mergeCell ref="B23:F23"/>
    <mergeCell ref="B24:F24"/>
  </mergeCells>
  <pageMargins left="0.7" right="0.7" top="0.75" bottom="0.75" header="0.3" footer="0.3"/>
  <pageSetup paperSize="9" scale="57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215D-AEFA-4E90-B738-6C5DF616B3F2}">
  <sheetPr>
    <tabColor rgb="FF00B050"/>
  </sheetPr>
  <dimension ref="A1:F102"/>
  <sheetViews>
    <sheetView zoomScale="85" zoomScaleNormal="85" workbookViewId="0">
      <selection activeCell="F1" sqref="F1"/>
    </sheetView>
  </sheetViews>
  <sheetFormatPr defaultColWidth="8.85546875" defaultRowHeight="15.75"/>
  <cols>
    <col min="1" max="1" width="7.85546875" style="22" customWidth="1"/>
    <col min="2" max="2" width="52.140625" style="25" customWidth="1"/>
    <col min="3" max="3" width="16.42578125" style="25" customWidth="1"/>
    <col min="4" max="4" width="16.42578125" style="29" customWidth="1"/>
    <col min="5" max="6" width="16.42578125" style="22" customWidth="1"/>
    <col min="7" max="16384" width="8.85546875" style="16"/>
  </cols>
  <sheetData>
    <row r="1" spans="1:6" s="2" customFormat="1" ht="20.45" customHeight="1">
      <c r="A1" s="65"/>
      <c r="B1" s="66"/>
      <c r="C1" s="65"/>
      <c r="D1" s="67"/>
      <c r="E1" s="68" t="s">
        <v>107</v>
      </c>
      <c r="F1" s="69"/>
    </row>
    <row r="2" spans="1:6" s="70" customFormat="1" ht="50.45" customHeight="1">
      <c r="A2" s="213" t="str">
        <f>SUM!A12</f>
        <v xml:space="preserve">ВЕДОМОСТЬ ОБЪЕМОВ РАБОТ / BILL OF QUANTITIES </v>
      </c>
      <c r="B2" s="213"/>
      <c r="C2" s="213"/>
      <c r="D2" s="213"/>
      <c r="E2" s="213"/>
      <c r="F2" s="213"/>
    </row>
    <row r="3" spans="1:6" s="36" customFormat="1" ht="54.75" customHeight="1">
      <c r="A3" s="214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14"/>
      <c r="C3" s="214"/>
      <c r="D3" s="214"/>
      <c r="E3" s="214"/>
      <c r="F3" s="214"/>
    </row>
    <row r="4" spans="1:6" s="2" customFormat="1" ht="64.349999999999994" customHeight="1">
      <c r="A4" s="71" t="s">
        <v>114</v>
      </c>
      <c r="B4" s="71" t="s">
        <v>92</v>
      </c>
      <c r="C4" s="71" t="s">
        <v>115</v>
      </c>
      <c r="D4" s="72" t="s">
        <v>116</v>
      </c>
      <c r="E4" s="87" t="s">
        <v>99</v>
      </c>
      <c r="F4" s="88" t="s">
        <v>100</v>
      </c>
    </row>
    <row r="5" spans="1:6">
      <c r="A5" s="89" t="s">
        <v>791</v>
      </c>
      <c r="B5" s="92" t="s">
        <v>366</v>
      </c>
      <c r="C5" s="30"/>
      <c r="D5" s="33"/>
      <c r="E5" s="30"/>
      <c r="F5" s="30"/>
    </row>
    <row r="6" spans="1:6">
      <c r="A6" s="89" t="s">
        <v>147</v>
      </c>
      <c r="B6" s="92" t="s">
        <v>129</v>
      </c>
      <c r="C6" s="30"/>
      <c r="D6" s="33"/>
      <c r="E6" s="30"/>
      <c r="F6" s="30"/>
    </row>
    <row r="7" spans="1:6" ht="94.5">
      <c r="A7" s="26" t="s">
        <v>1</v>
      </c>
      <c r="B7" s="73" t="s">
        <v>599</v>
      </c>
      <c r="C7" s="31" t="s">
        <v>86</v>
      </c>
      <c r="D7" s="27">
        <f>0.260876*1000</f>
        <v>260.87599999999998</v>
      </c>
      <c r="E7" s="18"/>
      <c r="F7" s="18">
        <f t="shared" ref="F7:F21" si="0">ROUND(D7*E7,2)</f>
        <v>0</v>
      </c>
    </row>
    <row r="8" spans="1:6" ht="31.5">
      <c r="A8" s="26" t="s">
        <v>18</v>
      </c>
      <c r="B8" s="73" t="s">
        <v>162</v>
      </c>
      <c r="C8" s="31" t="s">
        <v>86</v>
      </c>
      <c r="D8" s="27">
        <v>5.7039999999999997</v>
      </c>
      <c r="E8" s="18"/>
      <c r="F8" s="18">
        <f t="shared" si="0"/>
        <v>0</v>
      </c>
    </row>
    <row r="9" spans="1:6" ht="63">
      <c r="A9" s="26" t="s">
        <v>19</v>
      </c>
      <c r="B9" s="73" t="s">
        <v>818</v>
      </c>
      <c r="C9" s="31" t="s">
        <v>86</v>
      </c>
      <c r="D9" s="27">
        <f>0.260876*1000</f>
        <v>260.87599999999998</v>
      </c>
      <c r="E9" s="18"/>
      <c r="F9" s="18">
        <f t="shared" si="0"/>
        <v>0</v>
      </c>
    </row>
    <row r="10" spans="1:6" ht="87" customHeight="1">
      <c r="A10" s="26" t="s">
        <v>20</v>
      </c>
      <c r="B10" s="73" t="s">
        <v>358</v>
      </c>
      <c r="C10" s="31" t="s">
        <v>86</v>
      </c>
      <c r="D10" s="27">
        <v>423.16800000000001</v>
      </c>
      <c r="E10" s="18"/>
      <c r="F10" s="18">
        <f t="shared" si="0"/>
        <v>0</v>
      </c>
    </row>
    <row r="11" spans="1:6" ht="51" customHeight="1">
      <c r="A11" s="26" t="s">
        <v>21</v>
      </c>
      <c r="B11" s="73" t="s">
        <v>130</v>
      </c>
      <c r="C11" s="31" t="s">
        <v>86</v>
      </c>
      <c r="D11" s="27">
        <v>423.16800000000001</v>
      </c>
      <c r="E11" s="18"/>
      <c r="F11" s="18">
        <f t="shared" si="0"/>
        <v>0</v>
      </c>
    </row>
    <row r="12" spans="1:6" ht="133.5" customHeight="1">
      <c r="A12" s="26" t="s">
        <v>22</v>
      </c>
      <c r="B12" s="73" t="s">
        <v>364</v>
      </c>
      <c r="C12" s="31" t="s">
        <v>86</v>
      </c>
      <c r="D12" s="27">
        <f>0.162292*1000</f>
        <v>162.292</v>
      </c>
      <c r="E12" s="18"/>
      <c r="F12" s="18">
        <f>ROUND(D12*E12,2)</f>
        <v>0</v>
      </c>
    </row>
    <row r="13" spans="1:6" ht="31.5">
      <c r="A13" s="26" t="s">
        <v>23</v>
      </c>
      <c r="B13" s="73" t="s">
        <v>122</v>
      </c>
      <c r="C13" s="31" t="s">
        <v>88</v>
      </c>
      <c r="D13" s="27">
        <v>267.78179999999998</v>
      </c>
      <c r="E13" s="18"/>
      <c r="F13" s="18">
        <f>ROUND(D13*E13,2)</f>
        <v>0</v>
      </c>
    </row>
    <row r="14" spans="1:6">
      <c r="A14" s="26"/>
      <c r="B14" s="32" t="s">
        <v>17</v>
      </c>
      <c r="C14" s="19"/>
      <c r="D14" s="28"/>
      <c r="E14" s="20"/>
      <c r="F14" s="20">
        <f>SUM(F7:F13)</f>
        <v>0</v>
      </c>
    </row>
    <row r="15" spans="1:6" ht="22.5" customHeight="1">
      <c r="A15" s="89" t="s">
        <v>139</v>
      </c>
      <c r="B15" s="92" t="s">
        <v>140</v>
      </c>
      <c r="C15" s="30"/>
      <c r="D15" s="33"/>
      <c r="E15" s="30"/>
      <c r="F15" s="30"/>
    </row>
    <row r="16" spans="1:6" ht="31.5">
      <c r="A16" s="26" t="s">
        <v>31</v>
      </c>
      <c r="B16" s="73" t="s">
        <v>365</v>
      </c>
      <c r="C16" s="31" t="s">
        <v>86</v>
      </c>
      <c r="D16" s="27">
        <v>2.5499999999999998</v>
      </c>
      <c r="E16" s="18"/>
      <c r="F16" s="18">
        <f t="shared" si="0"/>
        <v>0</v>
      </c>
    </row>
    <row r="17" spans="1:6" ht="47.25">
      <c r="A17" s="26" t="s">
        <v>32</v>
      </c>
      <c r="B17" s="73" t="s">
        <v>735</v>
      </c>
      <c r="C17" s="31" t="s">
        <v>86</v>
      </c>
      <c r="D17" s="27">
        <v>5.0750000000000002</v>
      </c>
      <c r="E17" s="18"/>
      <c r="F17" s="18">
        <f t="shared" si="0"/>
        <v>0</v>
      </c>
    </row>
    <row r="18" spans="1:6" ht="31.5">
      <c r="A18" s="26" t="s">
        <v>33</v>
      </c>
      <c r="B18" s="73" t="s">
        <v>124</v>
      </c>
      <c r="C18" s="31" t="s">
        <v>88</v>
      </c>
      <c r="D18" s="27">
        <f>0.424+0.2253</f>
        <v>0.64929999999999999</v>
      </c>
      <c r="E18" s="18"/>
      <c r="F18" s="18">
        <f t="shared" si="0"/>
        <v>0</v>
      </c>
    </row>
    <row r="19" spans="1:6">
      <c r="A19" s="23"/>
      <c r="B19" s="32" t="s">
        <v>17</v>
      </c>
      <c r="C19" s="19"/>
      <c r="D19" s="28"/>
      <c r="E19" s="20"/>
      <c r="F19" s="20">
        <f>SUM(F16:F18)</f>
        <v>0</v>
      </c>
    </row>
    <row r="20" spans="1:6" ht="17.25" customHeight="1">
      <c r="A20" s="89" t="s">
        <v>93</v>
      </c>
      <c r="B20" s="92" t="s">
        <v>616</v>
      </c>
      <c r="C20" s="30"/>
      <c r="D20" s="33"/>
      <c r="E20" s="30"/>
      <c r="F20" s="30"/>
    </row>
    <row r="21" spans="1:6" ht="47.25">
      <c r="A21" s="26" t="s">
        <v>54</v>
      </c>
      <c r="B21" s="73" t="s">
        <v>634</v>
      </c>
      <c r="C21" s="31" t="s">
        <v>86</v>
      </c>
      <c r="D21" s="27">
        <v>9.3840000000000003</v>
      </c>
      <c r="E21" s="18"/>
      <c r="F21" s="18">
        <f t="shared" si="0"/>
        <v>0</v>
      </c>
    </row>
    <row r="22" spans="1:6" ht="31.5" customHeight="1">
      <c r="A22" s="133"/>
      <c r="B22" s="194" t="s">
        <v>177</v>
      </c>
      <c r="C22" s="133"/>
      <c r="D22" s="134"/>
      <c r="E22" s="133"/>
      <c r="F22" s="133"/>
    </row>
    <row r="23" spans="1:6" ht="24.75" customHeight="1">
      <c r="A23" s="26" t="s">
        <v>55</v>
      </c>
      <c r="B23" s="73" t="s">
        <v>125</v>
      </c>
      <c r="C23" s="31" t="s">
        <v>88</v>
      </c>
      <c r="D23" s="27">
        <f>0.0186</f>
        <v>1.8599999999999998E-2</v>
      </c>
      <c r="E23" s="18"/>
      <c r="F23" s="18">
        <f t="shared" ref="F23" si="1">ROUND(D23*E23,2)</f>
        <v>0</v>
      </c>
    </row>
    <row r="24" spans="1:6" ht="31.5">
      <c r="A24" s="26" t="s">
        <v>56</v>
      </c>
      <c r="B24" s="73" t="s">
        <v>126</v>
      </c>
      <c r="C24" s="31" t="s">
        <v>88</v>
      </c>
      <c r="D24" s="27">
        <f>0.4376+0.3033</f>
        <v>0.7409</v>
      </c>
      <c r="E24" s="18"/>
      <c r="F24" s="18">
        <f>ROUND(D24*E24,2)</f>
        <v>0</v>
      </c>
    </row>
    <row r="25" spans="1:6" ht="47.25">
      <c r="A25" s="26" t="s">
        <v>57</v>
      </c>
      <c r="B25" s="73" t="s">
        <v>736</v>
      </c>
      <c r="C25" s="31" t="s">
        <v>86</v>
      </c>
      <c r="D25" s="27">
        <f>4.692</f>
        <v>4.6920000000000002</v>
      </c>
      <c r="E25" s="18"/>
      <c r="F25" s="18">
        <f t="shared" ref="F25" si="2">ROUND(D25*E25,2)</f>
        <v>0</v>
      </c>
    </row>
    <row r="26" spans="1:6" ht="27.75" customHeight="1">
      <c r="A26" s="133"/>
      <c r="B26" s="194" t="s">
        <v>177</v>
      </c>
      <c r="C26" s="133"/>
      <c r="D26" s="134"/>
      <c r="E26" s="18"/>
      <c r="F26" s="133"/>
    </row>
    <row r="27" spans="1:6" ht="24.75" customHeight="1">
      <c r="A27" s="26" t="s">
        <v>58</v>
      </c>
      <c r="B27" s="73" t="s">
        <v>125</v>
      </c>
      <c r="C27" s="31" t="s">
        <v>88</v>
      </c>
      <c r="D27" s="27">
        <v>9.9000000000000008E-3</v>
      </c>
      <c r="E27" s="18"/>
      <c r="F27" s="18">
        <f t="shared" ref="F27" si="3">ROUND(D27*E27,2)</f>
        <v>0</v>
      </c>
    </row>
    <row r="28" spans="1:6" ht="31.5">
      <c r="A28" s="26" t="s">
        <v>59</v>
      </c>
      <c r="B28" s="73" t="s">
        <v>126</v>
      </c>
      <c r="C28" s="31" t="s">
        <v>88</v>
      </c>
      <c r="D28" s="27">
        <f>0.2253+0.1554</f>
        <v>0.38070000000000004</v>
      </c>
      <c r="E28" s="18"/>
      <c r="F28" s="18">
        <f>ROUND(D28*E28,2)</f>
        <v>0</v>
      </c>
    </row>
    <row r="29" spans="1:6" ht="94.5">
      <c r="A29" s="26" t="s">
        <v>60</v>
      </c>
      <c r="B29" s="73" t="s">
        <v>633</v>
      </c>
      <c r="C29" s="31" t="s">
        <v>91</v>
      </c>
      <c r="D29" s="27">
        <f>12</f>
        <v>12</v>
      </c>
      <c r="E29" s="18"/>
      <c r="F29" s="18">
        <f>ROUND(D29*E29,2)</f>
        <v>0</v>
      </c>
    </row>
    <row r="30" spans="1:6" ht="63">
      <c r="A30" s="26" t="s">
        <v>61</v>
      </c>
      <c r="B30" s="73" t="s">
        <v>631</v>
      </c>
      <c r="C30" s="31" t="s">
        <v>91</v>
      </c>
      <c r="D30" s="27">
        <f>12</f>
        <v>12</v>
      </c>
      <c r="E30" s="18"/>
      <c r="F30" s="18">
        <f>ROUND(D30*E30,2)</f>
        <v>0</v>
      </c>
    </row>
    <row r="31" spans="1:6" ht="31.5">
      <c r="A31" s="26" t="s">
        <v>62</v>
      </c>
      <c r="B31" s="73" t="s">
        <v>632</v>
      </c>
      <c r="C31" s="31" t="s">
        <v>91</v>
      </c>
      <c r="D31" s="27">
        <v>5.64</v>
      </c>
      <c r="E31" s="18"/>
      <c r="F31" s="18">
        <f>ROUND(D31*E31,2)</f>
        <v>0</v>
      </c>
    </row>
    <row r="32" spans="1:6">
      <c r="A32" s="23"/>
      <c r="B32" s="32" t="s">
        <v>17</v>
      </c>
      <c r="C32" s="19"/>
      <c r="D32" s="28"/>
      <c r="E32" s="20"/>
      <c r="F32" s="20">
        <f>SUM(F21:F31)</f>
        <v>0</v>
      </c>
    </row>
    <row r="33" spans="1:6" ht="17.25" customHeight="1">
      <c r="A33" s="89" t="s">
        <v>141</v>
      </c>
      <c r="B33" s="92" t="s">
        <v>620</v>
      </c>
      <c r="C33" s="30"/>
      <c r="D33" s="33"/>
      <c r="E33" s="30"/>
      <c r="F33" s="30"/>
    </row>
    <row r="34" spans="1:6" ht="47.25">
      <c r="A34" s="26" t="s">
        <v>63</v>
      </c>
      <c r="B34" s="73" t="s">
        <v>738</v>
      </c>
      <c r="C34" s="31" t="s">
        <v>86</v>
      </c>
      <c r="D34" s="27">
        <v>4.0599999999999996</v>
      </c>
      <c r="E34" s="18"/>
      <c r="F34" s="18">
        <f>ROUND(D34*E34,2)</f>
        <v>0</v>
      </c>
    </row>
    <row r="35" spans="1:6" ht="31.5">
      <c r="A35" s="26" t="s">
        <v>64</v>
      </c>
      <c r="B35" s="73" t="s">
        <v>126</v>
      </c>
      <c r="C35" s="31" t="s">
        <v>88</v>
      </c>
      <c r="D35" s="27">
        <v>0.58980999999999995</v>
      </c>
      <c r="E35" s="18"/>
      <c r="F35" s="18">
        <f>ROUND(D35*E35,2)</f>
        <v>0</v>
      </c>
    </row>
    <row r="36" spans="1:6">
      <c r="A36" s="23"/>
      <c r="B36" s="32" t="s">
        <v>17</v>
      </c>
      <c r="C36" s="19"/>
      <c r="D36" s="28"/>
      <c r="E36" s="20"/>
      <c r="F36" s="20">
        <f>SUM(F34:F35)</f>
        <v>0</v>
      </c>
    </row>
    <row r="37" spans="1:6" ht="17.25" customHeight="1">
      <c r="A37" s="89" t="s">
        <v>148</v>
      </c>
      <c r="B37" s="92" t="s">
        <v>828</v>
      </c>
      <c r="C37" s="30"/>
      <c r="D37" s="33"/>
      <c r="E37" s="30"/>
      <c r="F37" s="30"/>
    </row>
    <row r="38" spans="1:6" ht="47.25">
      <c r="A38" s="26" t="s">
        <v>68</v>
      </c>
      <c r="B38" s="73" t="s">
        <v>822</v>
      </c>
      <c r="C38" s="31" t="s">
        <v>91</v>
      </c>
      <c r="D38" s="27">
        <v>106.44</v>
      </c>
      <c r="E38" s="18"/>
      <c r="F38" s="18">
        <f t="shared" ref="F38:F45" si="4">ROUND(D38*E38,2)</f>
        <v>0</v>
      </c>
    </row>
    <row r="39" spans="1:6" ht="31.5">
      <c r="A39" s="26" t="s">
        <v>72</v>
      </c>
      <c r="B39" s="73" t="s">
        <v>823</v>
      </c>
      <c r="C39" s="31" t="s">
        <v>91</v>
      </c>
      <c r="D39" s="27">
        <v>108</v>
      </c>
      <c r="E39" s="18"/>
      <c r="F39" s="18">
        <f t="shared" si="4"/>
        <v>0</v>
      </c>
    </row>
    <row r="40" spans="1:6" ht="63">
      <c r="A40" s="26"/>
      <c r="B40" s="98" t="s">
        <v>739</v>
      </c>
      <c r="C40" s="31"/>
      <c r="D40" s="27"/>
      <c r="E40" s="18"/>
      <c r="F40" s="18"/>
    </row>
    <row r="41" spans="1:6">
      <c r="A41" s="26" t="s">
        <v>71</v>
      </c>
      <c r="B41" s="73" t="s">
        <v>740</v>
      </c>
      <c r="C41" s="31" t="s">
        <v>89</v>
      </c>
      <c r="D41" s="27">
        <v>4</v>
      </c>
      <c r="E41" s="18"/>
      <c r="F41" s="18">
        <f t="shared" si="4"/>
        <v>0</v>
      </c>
    </row>
    <row r="42" spans="1:6">
      <c r="A42" s="26" t="s">
        <v>74</v>
      </c>
      <c r="B42" s="73" t="s">
        <v>741</v>
      </c>
      <c r="C42" s="31" t="s">
        <v>89</v>
      </c>
      <c r="D42" s="27">
        <v>4</v>
      </c>
      <c r="E42" s="18"/>
      <c r="F42" s="18">
        <f t="shared" si="4"/>
        <v>0</v>
      </c>
    </row>
    <row r="43" spans="1:6">
      <c r="A43" s="26" t="s">
        <v>191</v>
      </c>
      <c r="B43" s="73" t="s">
        <v>742</v>
      </c>
      <c r="C43" s="31" t="s">
        <v>89</v>
      </c>
      <c r="D43" s="27">
        <v>1</v>
      </c>
      <c r="E43" s="18"/>
      <c r="F43" s="18">
        <f t="shared" si="4"/>
        <v>0</v>
      </c>
    </row>
    <row r="44" spans="1:6">
      <c r="A44" s="26" t="s">
        <v>254</v>
      </c>
      <c r="B44" s="73" t="s">
        <v>747</v>
      </c>
      <c r="C44" s="31" t="s">
        <v>89</v>
      </c>
      <c r="D44" s="27">
        <v>1</v>
      </c>
      <c r="E44" s="18"/>
      <c r="F44" s="18">
        <f t="shared" si="4"/>
        <v>0</v>
      </c>
    </row>
    <row r="45" spans="1:6">
      <c r="A45" s="26" t="s">
        <v>255</v>
      </c>
      <c r="B45" s="73" t="s">
        <v>748</v>
      </c>
      <c r="C45" s="31" t="s">
        <v>89</v>
      </c>
      <c r="D45" s="27">
        <v>1</v>
      </c>
      <c r="E45" s="18"/>
      <c r="F45" s="18">
        <f t="shared" si="4"/>
        <v>0</v>
      </c>
    </row>
    <row r="46" spans="1:6" ht="31.5" customHeight="1">
      <c r="A46" s="26" t="s">
        <v>256</v>
      </c>
      <c r="B46" s="73" t="s">
        <v>743</v>
      </c>
      <c r="C46" s="31" t="s">
        <v>88</v>
      </c>
      <c r="D46" s="27">
        <v>6.216E-2</v>
      </c>
      <c r="E46" s="18"/>
      <c r="F46" s="18">
        <f t="shared" ref="F46:F65" si="5">ROUND(D46*E46,2)</f>
        <v>0</v>
      </c>
    </row>
    <row r="47" spans="1:6">
      <c r="A47" s="26" t="s">
        <v>257</v>
      </c>
      <c r="B47" s="99" t="s">
        <v>749</v>
      </c>
      <c r="C47" s="101" t="s">
        <v>90</v>
      </c>
      <c r="D47" s="100">
        <v>11.12</v>
      </c>
      <c r="E47" s="18"/>
      <c r="F47" s="18">
        <f t="shared" si="5"/>
        <v>0</v>
      </c>
    </row>
    <row r="48" spans="1:6">
      <c r="A48" s="26" t="s">
        <v>258</v>
      </c>
      <c r="B48" s="99" t="s">
        <v>744</v>
      </c>
      <c r="C48" s="101" t="s">
        <v>90</v>
      </c>
      <c r="D48" s="100">
        <v>51.04</v>
      </c>
      <c r="E48" s="18"/>
      <c r="F48" s="18">
        <f t="shared" si="5"/>
        <v>0</v>
      </c>
    </row>
    <row r="49" spans="1:6" ht="31.5">
      <c r="A49" s="26"/>
      <c r="B49" s="98" t="s">
        <v>128</v>
      </c>
      <c r="C49" s="31" t="s">
        <v>88</v>
      </c>
      <c r="D49" s="27">
        <f>19.84/1000</f>
        <v>1.984E-2</v>
      </c>
      <c r="E49" s="18"/>
      <c r="F49" s="18">
        <f t="shared" si="5"/>
        <v>0</v>
      </c>
    </row>
    <row r="50" spans="1:6">
      <c r="A50" s="26" t="s">
        <v>259</v>
      </c>
      <c r="B50" s="99" t="s">
        <v>824</v>
      </c>
      <c r="C50" s="31" t="s">
        <v>88</v>
      </c>
      <c r="D50" s="27">
        <f>19.84/1000</f>
        <v>1.984E-2</v>
      </c>
      <c r="E50" s="18"/>
      <c r="F50" s="18">
        <f t="shared" si="5"/>
        <v>0</v>
      </c>
    </row>
    <row r="51" spans="1:6" ht="47.25">
      <c r="A51" s="26" t="s">
        <v>260</v>
      </c>
      <c r="B51" s="99" t="s">
        <v>745</v>
      </c>
      <c r="C51" s="101" t="s">
        <v>91</v>
      </c>
      <c r="D51" s="100">
        <v>5.33</v>
      </c>
      <c r="E51" s="18"/>
      <c r="F51" s="18">
        <f t="shared" si="5"/>
        <v>0</v>
      </c>
    </row>
    <row r="52" spans="1:6" ht="47.25">
      <c r="A52" s="26" t="s">
        <v>261</v>
      </c>
      <c r="B52" s="99" t="s">
        <v>746</v>
      </c>
      <c r="C52" s="101" t="s">
        <v>91</v>
      </c>
      <c r="D52" s="100">
        <v>5.33</v>
      </c>
      <c r="E52" s="18"/>
      <c r="F52" s="18">
        <f t="shared" si="5"/>
        <v>0</v>
      </c>
    </row>
    <row r="53" spans="1:6" ht="31.5">
      <c r="A53" s="26" t="s">
        <v>262</v>
      </c>
      <c r="B53" s="99" t="s">
        <v>640</v>
      </c>
      <c r="C53" s="101" t="s">
        <v>87</v>
      </c>
      <c r="D53" s="100">
        <v>2</v>
      </c>
      <c r="E53" s="18"/>
      <c r="F53" s="18">
        <f t="shared" si="5"/>
        <v>0</v>
      </c>
    </row>
    <row r="54" spans="1:6" ht="47.25">
      <c r="A54" s="26" t="s">
        <v>263</v>
      </c>
      <c r="B54" s="99" t="s">
        <v>182</v>
      </c>
      <c r="C54" s="101" t="s">
        <v>91</v>
      </c>
      <c r="D54" s="100">
        <v>1.4490000000000001</v>
      </c>
      <c r="E54" s="18"/>
      <c r="F54" s="18">
        <f t="shared" si="5"/>
        <v>0</v>
      </c>
    </row>
    <row r="55" spans="1:6">
      <c r="A55" s="26"/>
      <c r="B55" s="32" t="s">
        <v>641</v>
      </c>
      <c r="C55" s="101"/>
      <c r="D55" s="100"/>
      <c r="E55" s="18"/>
      <c r="F55" s="18"/>
    </row>
    <row r="56" spans="1:6">
      <c r="A56" s="26" t="s">
        <v>264</v>
      </c>
      <c r="B56" s="99" t="s">
        <v>642</v>
      </c>
      <c r="C56" s="31" t="s">
        <v>89</v>
      </c>
      <c r="D56" s="100">
        <v>0.5</v>
      </c>
      <c r="E56" s="18"/>
      <c r="F56" s="18">
        <f t="shared" si="5"/>
        <v>0</v>
      </c>
    </row>
    <row r="57" spans="1:6">
      <c r="A57" s="26" t="s">
        <v>265</v>
      </c>
      <c r="B57" s="99" t="s">
        <v>643</v>
      </c>
      <c r="C57" s="31" t="s">
        <v>89</v>
      </c>
      <c r="D57" s="100">
        <v>0.5</v>
      </c>
      <c r="E57" s="18"/>
      <c r="F57" s="18">
        <f t="shared" si="5"/>
        <v>0</v>
      </c>
    </row>
    <row r="58" spans="1:6" ht="31.5" customHeight="1">
      <c r="A58" s="26" t="s">
        <v>266</v>
      </c>
      <c r="B58" s="73" t="s">
        <v>644</v>
      </c>
      <c r="C58" s="31" t="s">
        <v>88</v>
      </c>
      <c r="D58" s="27">
        <v>2.93E-2</v>
      </c>
      <c r="E58" s="18"/>
      <c r="F58" s="18">
        <f t="shared" si="5"/>
        <v>0</v>
      </c>
    </row>
    <row r="59" spans="1:6">
      <c r="A59" s="26" t="s">
        <v>267</v>
      </c>
      <c r="B59" s="73" t="s">
        <v>645</v>
      </c>
      <c r="C59" s="31" t="s">
        <v>88</v>
      </c>
      <c r="D59" s="27">
        <v>2.8199999999999999E-2</v>
      </c>
      <c r="E59" s="18"/>
      <c r="F59" s="18">
        <f t="shared" si="5"/>
        <v>0</v>
      </c>
    </row>
    <row r="60" spans="1:6">
      <c r="A60" s="26" t="s">
        <v>268</v>
      </c>
      <c r="B60" s="73" t="s">
        <v>646</v>
      </c>
      <c r="C60" s="31" t="s">
        <v>88</v>
      </c>
      <c r="D60" s="27">
        <v>3.5000000000000003E-2</v>
      </c>
      <c r="E60" s="18"/>
      <c r="F60" s="18">
        <f t="shared" si="5"/>
        <v>0</v>
      </c>
    </row>
    <row r="61" spans="1:6">
      <c r="A61" s="26" t="s">
        <v>829</v>
      </c>
      <c r="B61" s="73" t="s">
        <v>825</v>
      </c>
      <c r="C61" s="31" t="s">
        <v>86</v>
      </c>
      <c r="D61" s="27">
        <v>8.9800000000000005E-2</v>
      </c>
      <c r="E61" s="18"/>
      <c r="F61" s="18">
        <f t="shared" si="5"/>
        <v>0</v>
      </c>
    </row>
    <row r="62" spans="1:6" ht="63">
      <c r="A62" s="26" t="s">
        <v>830</v>
      </c>
      <c r="B62" s="73" t="s">
        <v>737</v>
      </c>
      <c r="C62" s="31" t="s">
        <v>89</v>
      </c>
      <c r="D62" s="27">
        <v>1</v>
      </c>
      <c r="E62" s="18"/>
      <c r="F62" s="18">
        <f t="shared" si="5"/>
        <v>0</v>
      </c>
    </row>
    <row r="63" spans="1:6" ht="31.5">
      <c r="A63" s="26"/>
      <c r="B63" s="98" t="s">
        <v>128</v>
      </c>
      <c r="C63" s="31" t="s">
        <v>90</v>
      </c>
      <c r="D63" s="27">
        <f>D64+D65</f>
        <v>1.94</v>
      </c>
      <c r="E63" s="18"/>
      <c r="F63" s="18">
        <f t="shared" ref="F63" si="6">ROUND(D63*E63,2)</f>
        <v>0</v>
      </c>
    </row>
    <row r="64" spans="1:6">
      <c r="A64" s="26" t="s">
        <v>831</v>
      </c>
      <c r="B64" s="73" t="s">
        <v>826</v>
      </c>
      <c r="C64" s="31" t="s">
        <v>90</v>
      </c>
      <c r="D64" s="27">
        <v>0.64</v>
      </c>
      <c r="E64" s="18"/>
      <c r="F64" s="18">
        <f t="shared" si="5"/>
        <v>0</v>
      </c>
    </row>
    <row r="65" spans="1:6">
      <c r="A65" s="26" t="s">
        <v>832</v>
      </c>
      <c r="B65" s="73" t="s">
        <v>827</v>
      </c>
      <c r="C65" s="31" t="s">
        <v>90</v>
      </c>
      <c r="D65" s="27">
        <v>1.3</v>
      </c>
      <c r="E65" s="18"/>
      <c r="F65" s="18">
        <f t="shared" si="5"/>
        <v>0</v>
      </c>
    </row>
    <row r="66" spans="1:6">
      <c r="A66" s="23"/>
      <c r="B66" s="32" t="s">
        <v>17</v>
      </c>
      <c r="C66" s="19"/>
      <c r="D66" s="28"/>
      <c r="E66" s="20"/>
      <c r="F66" s="20">
        <f>SUM(F38:F65)</f>
        <v>0</v>
      </c>
    </row>
    <row r="67" spans="1:6" ht="31.5">
      <c r="A67" s="89" t="s">
        <v>118</v>
      </c>
      <c r="B67" s="92" t="s">
        <v>800</v>
      </c>
      <c r="C67" s="30"/>
      <c r="D67" s="33"/>
      <c r="E67" s="30"/>
      <c r="F67" s="30"/>
    </row>
    <row r="68" spans="1:6" ht="63">
      <c r="A68" s="26" t="s">
        <v>75</v>
      </c>
      <c r="B68" s="73" t="s">
        <v>879</v>
      </c>
      <c r="C68" s="31" t="s">
        <v>87</v>
      </c>
      <c r="D68" s="27">
        <f>4+2.5</f>
        <v>6.5</v>
      </c>
      <c r="E68" s="18"/>
      <c r="F68" s="18">
        <f t="shared" ref="F68:F80" si="7">ROUND(D68*E68,2)</f>
        <v>0</v>
      </c>
    </row>
    <row r="69" spans="1:6" ht="63">
      <c r="A69" s="26" t="s">
        <v>76</v>
      </c>
      <c r="B69" s="73" t="s">
        <v>880</v>
      </c>
      <c r="C69" s="31" t="s">
        <v>87</v>
      </c>
      <c r="D69" s="27">
        <f>2.5+4</f>
        <v>6.5</v>
      </c>
      <c r="E69" s="18"/>
      <c r="F69" s="18">
        <f t="shared" si="7"/>
        <v>0</v>
      </c>
    </row>
    <row r="70" spans="1:6" ht="63">
      <c r="A70" s="26" t="s">
        <v>69</v>
      </c>
      <c r="B70" s="73" t="s">
        <v>881</v>
      </c>
      <c r="C70" s="31" t="s">
        <v>89</v>
      </c>
      <c r="D70" s="27">
        <v>1</v>
      </c>
      <c r="E70" s="18"/>
      <c r="F70" s="18">
        <f t="shared" si="7"/>
        <v>0</v>
      </c>
    </row>
    <row r="71" spans="1:6" ht="31.5">
      <c r="A71" s="26" t="s">
        <v>77</v>
      </c>
      <c r="B71" s="73" t="s">
        <v>882</v>
      </c>
      <c r="C71" s="31" t="s">
        <v>89</v>
      </c>
      <c r="D71" s="27">
        <v>2</v>
      </c>
      <c r="E71" s="18"/>
      <c r="F71" s="18">
        <f t="shared" si="7"/>
        <v>0</v>
      </c>
    </row>
    <row r="72" spans="1:6" ht="94.5">
      <c r="A72" s="26" t="s">
        <v>77</v>
      </c>
      <c r="B72" s="73" t="s">
        <v>655</v>
      </c>
      <c r="C72" s="31" t="s">
        <v>89</v>
      </c>
      <c r="D72" s="27">
        <v>1</v>
      </c>
      <c r="E72" s="18"/>
      <c r="F72" s="18">
        <f t="shared" si="7"/>
        <v>0</v>
      </c>
    </row>
    <row r="73" spans="1:6" ht="94.5">
      <c r="A73" s="26" t="s">
        <v>78</v>
      </c>
      <c r="B73" s="73" t="s">
        <v>883</v>
      </c>
      <c r="C73" s="31" t="s">
        <v>89</v>
      </c>
      <c r="D73" s="27">
        <v>1</v>
      </c>
      <c r="E73" s="18"/>
      <c r="F73" s="18">
        <f t="shared" si="7"/>
        <v>0</v>
      </c>
    </row>
    <row r="74" spans="1:6" ht="47.25">
      <c r="A74" s="26"/>
      <c r="B74" s="98" t="s">
        <v>657</v>
      </c>
      <c r="C74" s="137"/>
      <c r="D74" s="138"/>
      <c r="E74" s="139"/>
      <c r="F74" s="139"/>
    </row>
    <row r="75" spans="1:6">
      <c r="A75" s="26" t="s">
        <v>193</v>
      </c>
      <c r="B75" s="73" t="s">
        <v>884</v>
      </c>
      <c r="C75" s="31" t="s">
        <v>88</v>
      </c>
      <c r="D75" s="27">
        <v>3.9000007200000006E-2</v>
      </c>
      <c r="E75" s="18"/>
      <c r="F75" s="18">
        <f t="shared" si="7"/>
        <v>0</v>
      </c>
    </row>
    <row r="76" spans="1:6">
      <c r="A76" s="26" t="s">
        <v>269</v>
      </c>
      <c r="B76" s="73" t="s">
        <v>885</v>
      </c>
      <c r="C76" s="31" t="s">
        <v>88</v>
      </c>
      <c r="D76" s="27">
        <v>6.6999856000000005E-3</v>
      </c>
      <c r="E76" s="18"/>
      <c r="F76" s="18">
        <f t="shared" si="7"/>
        <v>0</v>
      </c>
    </row>
    <row r="77" spans="1:6">
      <c r="A77" s="26" t="s">
        <v>270</v>
      </c>
      <c r="B77" s="73" t="s">
        <v>886</v>
      </c>
      <c r="C77" s="31" t="s">
        <v>88</v>
      </c>
      <c r="D77" s="27">
        <v>1.0500028E-2</v>
      </c>
      <c r="E77" s="18"/>
      <c r="F77" s="18">
        <f t="shared" si="7"/>
        <v>0</v>
      </c>
    </row>
    <row r="78" spans="1:6">
      <c r="A78" s="26" t="s">
        <v>271</v>
      </c>
      <c r="B78" s="73" t="s">
        <v>887</v>
      </c>
      <c r="C78" s="31" t="s">
        <v>88</v>
      </c>
      <c r="D78" s="27">
        <v>5.3999792000000001E-3</v>
      </c>
      <c r="E78" s="18"/>
      <c r="F78" s="18">
        <f t="shared" si="7"/>
        <v>0</v>
      </c>
    </row>
    <row r="79" spans="1:6" ht="47.25">
      <c r="A79" s="26" t="s">
        <v>272</v>
      </c>
      <c r="B79" s="73" t="s">
        <v>888</v>
      </c>
      <c r="C79" s="31" t="s">
        <v>89</v>
      </c>
      <c r="D79" s="27">
        <v>1</v>
      </c>
      <c r="E79" s="18"/>
      <c r="F79" s="18">
        <f t="shared" si="7"/>
        <v>0</v>
      </c>
    </row>
    <row r="80" spans="1:6" ht="47.25">
      <c r="A80" s="26" t="s">
        <v>273</v>
      </c>
      <c r="B80" s="73" t="s">
        <v>889</v>
      </c>
      <c r="C80" s="31" t="s">
        <v>89</v>
      </c>
      <c r="D80" s="27">
        <v>1</v>
      </c>
      <c r="E80" s="18"/>
      <c r="F80" s="18">
        <f t="shared" si="7"/>
        <v>0</v>
      </c>
    </row>
    <row r="81" spans="1:6">
      <c r="A81" s="23"/>
      <c r="B81" s="32" t="s">
        <v>17</v>
      </c>
      <c r="C81" s="19"/>
      <c r="D81" s="28"/>
      <c r="E81" s="20"/>
      <c r="F81" s="20">
        <f>SUM(F68:F80)</f>
        <v>0</v>
      </c>
    </row>
    <row r="82" spans="1:6" s="2" customFormat="1" ht="20.85" customHeight="1">
      <c r="A82" s="1"/>
      <c r="B82" s="216" t="s">
        <v>7</v>
      </c>
      <c r="C82" s="216"/>
      <c r="D82" s="216"/>
      <c r="E82" s="216"/>
      <c r="F82" s="216"/>
    </row>
    <row r="83" spans="1:6" s="2" customFormat="1" ht="25.5" customHeight="1">
      <c r="A83" s="3">
        <v>1</v>
      </c>
      <c r="B83" s="215" t="str">
        <f>B6</f>
        <v>Земляные работы / Excavation works</v>
      </c>
      <c r="C83" s="215"/>
      <c r="D83" s="215"/>
      <c r="E83" s="215"/>
      <c r="F83" s="4">
        <f>F14</f>
        <v>0</v>
      </c>
    </row>
    <row r="84" spans="1:6" s="2" customFormat="1" ht="25.5" customHeight="1">
      <c r="A84" s="3">
        <v>2</v>
      </c>
      <c r="B84" s="215" t="str">
        <f>B15</f>
        <v>Фундаменты / Foundations</v>
      </c>
      <c r="C84" s="215"/>
      <c r="D84" s="215"/>
      <c r="E84" s="215"/>
      <c r="F84" s="4">
        <f>F19</f>
        <v>0</v>
      </c>
    </row>
    <row r="85" spans="1:6" s="2" customFormat="1" ht="25.5" customHeight="1">
      <c r="A85" s="3">
        <v>3</v>
      </c>
      <c r="B85" s="215" t="str">
        <f>B20</f>
        <v>Стены / Walls</v>
      </c>
      <c r="C85" s="215"/>
      <c r="D85" s="215"/>
      <c r="E85" s="215"/>
      <c r="F85" s="4">
        <f>F32</f>
        <v>0</v>
      </c>
    </row>
    <row r="86" spans="1:6" s="2" customFormat="1" ht="25.5" customHeight="1">
      <c r="A86" s="3">
        <v>4</v>
      </c>
      <c r="B86" s="215" t="str">
        <f>B33</f>
        <v>Перекрытие / Overlap</v>
      </c>
      <c r="C86" s="215"/>
      <c r="D86" s="215"/>
      <c r="E86" s="215"/>
      <c r="F86" s="4">
        <f>F36</f>
        <v>0</v>
      </c>
    </row>
    <row r="87" spans="1:6" s="2" customFormat="1" ht="25.5" customHeight="1">
      <c r="A87" s="3">
        <v>5</v>
      </c>
      <c r="B87" s="215" t="str">
        <f>B37</f>
        <v>Гидроизоляция и колодец</v>
      </c>
      <c r="C87" s="215"/>
      <c r="D87" s="215"/>
      <c r="E87" s="215"/>
      <c r="F87" s="4">
        <f>F66</f>
        <v>0</v>
      </c>
    </row>
    <row r="88" spans="1:6" s="2" customFormat="1" ht="25.5" customHeight="1">
      <c r="A88" s="3">
        <v>6</v>
      </c>
      <c r="B88" s="215" t="str">
        <f>B67</f>
        <v>Технологическая часть резервуар / Technological part tank</v>
      </c>
      <c r="C88" s="215"/>
      <c r="D88" s="215"/>
      <c r="E88" s="215"/>
      <c r="F88" s="4">
        <f>F81</f>
        <v>0</v>
      </c>
    </row>
    <row r="89" spans="1:6" s="2" customFormat="1" ht="20.85" customHeight="1">
      <c r="A89" s="1" t="s">
        <v>791</v>
      </c>
      <c r="B89" s="212" t="s">
        <v>8</v>
      </c>
      <c r="C89" s="212"/>
      <c r="D89" s="212"/>
      <c r="E89" s="212"/>
      <c r="F89" s="5">
        <f>SUM(F83:F88)</f>
        <v>0</v>
      </c>
    </row>
    <row r="90" spans="1:6" s="15" customFormat="1" ht="28.5" customHeight="1">
      <c r="A90" s="211" t="s">
        <v>9</v>
      </c>
      <c r="B90" s="211"/>
      <c r="C90" s="211"/>
      <c r="D90" s="211"/>
      <c r="E90" s="211"/>
      <c r="F90" s="211"/>
    </row>
    <row r="91" spans="1:6" s="15" customFormat="1" ht="194.25" customHeight="1">
      <c r="A91" s="211" t="s">
        <v>10</v>
      </c>
      <c r="B91" s="211"/>
      <c r="C91" s="211"/>
      <c r="D91" s="211"/>
      <c r="E91" s="211"/>
      <c r="F91" s="211"/>
    </row>
    <row r="92" spans="1:6" s="15" customFormat="1" ht="33" customHeight="1">
      <c r="A92" s="211" t="s">
        <v>11</v>
      </c>
      <c r="B92" s="211"/>
      <c r="C92" s="211"/>
      <c r="D92" s="211"/>
      <c r="E92" s="211"/>
      <c r="F92" s="211"/>
    </row>
    <row r="93" spans="1:6" s="15" customFormat="1" ht="150.75" customHeight="1">
      <c r="A93" s="211" t="s">
        <v>12</v>
      </c>
      <c r="B93" s="211"/>
      <c r="C93" s="211"/>
      <c r="D93" s="211"/>
      <c r="E93" s="211"/>
      <c r="F93" s="211"/>
    </row>
    <row r="94" spans="1:6" s="9" customFormat="1">
      <c r="A94" s="6"/>
      <c r="B94" s="7"/>
      <c r="C94" s="6"/>
      <c r="D94" s="8"/>
      <c r="E94" s="6"/>
      <c r="F94" s="6"/>
    </row>
    <row r="95" spans="1:6" s="9" customFormat="1">
      <c r="A95" s="6"/>
      <c r="B95" s="7"/>
      <c r="C95" s="6"/>
      <c r="D95" s="8"/>
      <c r="E95" s="6"/>
      <c r="F95" s="6"/>
    </row>
    <row r="96" spans="1:6" s="13" customFormat="1">
      <c r="A96" s="12"/>
      <c r="B96" s="11" t="s">
        <v>13</v>
      </c>
      <c r="C96" s="12"/>
      <c r="D96" s="8"/>
      <c r="E96" s="6"/>
      <c r="F96" s="6"/>
    </row>
    <row r="97" spans="1:6" s="13" customFormat="1">
      <c r="A97" s="12"/>
      <c r="B97" s="14" t="s">
        <v>14</v>
      </c>
      <c r="C97" s="12"/>
      <c r="D97" s="8"/>
      <c r="E97" s="6"/>
      <c r="F97" s="6"/>
    </row>
    <row r="98" spans="1:6" s="13" customFormat="1">
      <c r="A98" s="12"/>
      <c r="B98" s="14"/>
      <c r="C98" s="12"/>
      <c r="D98" s="8"/>
      <c r="E98" s="6"/>
      <c r="F98" s="6"/>
    </row>
    <row r="99" spans="1:6" s="13" customFormat="1">
      <c r="A99" s="12"/>
      <c r="B99" s="10"/>
      <c r="C99" s="12"/>
      <c r="D99" s="8"/>
      <c r="E99" s="6"/>
      <c r="F99" s="6"/>
    </row>
    <row r="100" spans="1:6" s="13" customFormat="1">
      <c r="A100" s="12"/>
      <c r="B100" s="10"/>
      <c r="C100" s="12"/>
      <c r="D100" s="8"/>
      <c r="E100" s="6"/>
      <c r="F100" s="6"/>
    </row>
    <row r="101" spans="1:6" s="13" customFormat="1">
      <c r="A101" s="12"/>
      <c r="B101" s="10" t="s">
        <v>15</v>
      </c>
      <c r="C101" s="12"/>
      <c r="D101" s="8"/>
      <c r="E101" s="6"/>
      <c r="F101" s="6"/>
    </row>
    <row r="102" spans="1:6" s="13" customFormat="1">
      <c r="A102" s="12"/>
      <c r="B102" s="10" t="s">
        <v>16</v>
      </c>
      <c r="C102" s="12"/>
      <c r="D102" s="8"/>
      <c r="E102" s="6"/>
      <c r="F102" s="6"/>
    </row>
  </sheetData>
  <protectedRanges>
    <protectedRange sqref="E4" name="Range1"/>
  </protectedRanges>
  <mergeCells count="14">
    <mergeCell ref="A91:F91"/>
    <mergeCell ref="A92:F92"/>
    <mergeCell ref="A93:F93"/>
    <mergeCell ref="A2:F2"/>
    <mergeCell ref="A3:F3"/>
    <mergeCell ref="B82:F82"/>
    <mergeCell ref="B83:E83"/>
    <mergeCell ref="B89:E89"/>
    <mergeCell ref="A90:F90"/>
    <mergeCell ref="B84:E84"/>
    <mergeCell ref="B85:E85"/>
    <mergeCell ref="B86:E86"/>
    <mergeCell ref="B87:E87"/>
    <mergeCell ref="B88:E88"/>
  </mergeCells>
  <phoneticPr fontId="2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D2D0-9DFA-419E-BA85-FABC4FDF05BC}">
  <sheetPr>
    <tabColor rgb="FF92D050"/>
  </sheetPr>
  <dimension ref="A1:F25"/>
  <sheetViews>
    <sheetView zoomScale="85" zoomScaleNormal="85" workbookViewId="0">
      <selection activeCell="I4" sqref="I4"/>
    </sheetView>
  </sheetViews>
  <sheetFormatPr defaultColWidth="8.85546875" defaultRowHeight="15.75"/>
  <cols>
    <col min="1" max="1" width="8.85546875" style="43"/>
    <col min="2" max="2" width="53.140625" style="43" customWidth="1"/>
    <col min="3" max="3" width="15.5703125" style="43" customWidth="1"/>
    <col min="4" max="5" width="16" style="43" customWidth="1"/>
    <col min="6" max="6" width="17" style="43" customWidth="1"/>
    <col min="7" max="16384" width="8.85546875" style="43"/>
  </cols>
  <sheetData>
    <row r="1" spans="1:6" s="2" customFormat="1" ht="20.45" customHeight="1">
      <c r="A1" s="65"/>
      <c r="B1" s="66"/>
      <c r="C1" s="65"/>
      <c r="D1" s="67"/>
      <c r="E1" s="68" t="s">
        <v>107</v>
      </c>
      <c r="F1" s="69"/>
    </row>
    <row r="2" spans="1:6" s="70" customFormat="1" ht="50.45" customHeight="1">
      <c r="A2" s="213" t="str">
        <f>SUM!A12</f>
        <v xml:space="preserve">ВЕДОМОСТЬ ОБЪЕМОВ РАБОТ / BILL OF QUANTITIES </v>
      </c>
      <c r="B2" s="213"/>
      <c r="C2" s="213"/>
      <c r="D2" s="213"/>
      <c r="E2" s="213"/>
      <c r="F2" s="213"/>
    </row>
    <row r="3" spans="1:6" s="36" customFormat="1" ht="51.75" customHeight="1">
      <c r="A3" s="214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14"/>
      <c r="C3" s="214"/>
      <c r="D3" s="214"/>
      <c r="E3" s="214"/>
      <c r="F3" s="214"/>
    </row>
    <row r="4" spans="1:6" s="37" customFormat="1" ht="63">
      <c r="A4" s="104" t="s">
        <v>95</v>
      </c>
      <c r="B4" s="102" t="s">
        <v>96</v>
      </c>
      <c r="C4" s="38" t="s">
        <v>97</v>
      </c>
      <c r="D4" s="106" t="s">
        <v>98</v>
      </c>
      <c r="E4" s="107" t="s">
        <v>99</v>
      </c>
      <c r="F4" s="108" t="s">
        <v>100</v>
      </c>
    </row>
    <row r="5" spans="1:6" s="37" customFormat="1" ht="37.5" customHeight="1">
      <c r="A5" s="105" t="s">
        <v>801</v>
      </c>
      <c r="B5" s="228" t="s">
        <v>158</v>
      </c>
      <c r="C5" s="228"/>
      <c r="D5" s="228"/>
      <c r="E5" s="228"/>
      <c r="F5" s="228"/>
    </row>
    <row r="6" spans="1:6" ht="94.5">
      <c r="A6" s="39">
        <v>1</v>
      </c>
      <c r="B6" s="109" t="s">
        <v>159</v>
      </c>
      <c r="C6" s="110" t="s">
        <v>101</v>
      </c>
      <c r="D6" s="45">
        <v>1</v>
      </c>
      <c r="E6" s="111"/>
      <c r="F6" s="112">
        <f>ROUND(D6*E6,2)</f>
        <v>0</v>
      </c>
    </row>
    <row r="7" spans="1:6" ht="31.5">
      <c r="A7" s="39">
        <v>2</v>
      </c>
      <c r="B7" s="44" t="s">
        <v>102</v>
      </c>
      <c r="C7" s="40" t="s">
        <v>101</v>
      </c>
      <c r="D7" s="45">
        <v>1</v>
      </c>
      <c r="E7" s="41"/>
      <c r="F7" s="42">
        <f t="shared" ref="F7:F9" si="0">ROUND(D7*E7,2)</f>
        <v>0</v>
      </c>
    </row>
    <row r="8" spans="1:6" ht="31.5">
      <c r="A8" s="39">
        <v>3</v>
      </c>
      <c r="B8" s="47" t="s">
        <v>104</v>
      </c>
      <c r="C8" s="46" t="s">
        <v>103</v>
      </c>
      <c r="D8" s="45">
        <v>7</v>
      </c>
      <c r="E8" s="41"/>
      <c r="F8" s="42">
        <f t="shared" si="0"/>
        <v>0</v>
      </c>
    </row>
    <row r="9" spans="1:6" ht="31.5">
      <c r="A9" s="39">
        <v>4</v>
      </c>
      <c r="B9" s="44" t="s">
        <v>105</v>
      </c>
      <c r="C9" s="46" t="s">
        <v>103</v>
      </c>
      <c r="D9" s="45">
        <v>7</v>
      </c>
      <c r="E9" s="41"/>
      <c r="F9" s="42">
        <f t="shared" si="0"/>
        <v>0</v>
      </c>
    </row>
    <row r="10" spans="1:6" ht="30" customHeight="1">
      <c r="A10" s="48" t="s">
        <v>106</v>
      </c>
      <c r="B10" s="49"/>
      <c r="C10" s="49"/>
      <c r="D10" s="49"/>
      <c r="E10" s="49"/>
      <c r="F10" s="50">
        <f>SUM(F6:F9)</f>
        <v>0</v>
      </c>
    </row>
    <row r="11" spans="1:6" s="15" customFormat="1" ht="28.5" customHeight="1">
      <c r="A11" s="211" t="s">
        <v>9</v>
      </c>
      <c r="B11" s="211"/>
      <c r="C11" s="211"/>
      <c r="D11" s="211"/>
      <c r="E11" s="211"/>
      <c r="F11" s="211"/>
    </row>
    <row r="12" spans="1:6" s="15" customFormat="1" ht="194.45" customHeight="1">
      <c r="A12" s="211" t="s">
        <v>10</v>
      </c>
      <c r="B12" s="211"/>
      <c r="C12" s="211"/>
      <c r="D12" s="211"/>
      <c r="E12" s="211"/>
      <c r="F12" s="211"/>
    </row>
    <row r="13" spans="1:6" s="15" customFormat="1" ht="33" customHeight="1">
      <c r="A13" s="211" t="s">
        <v>11</v>
      </c>
      <c r="B13" s="211"/>
      <c r="C13" s="211"/>
      <c r="D13" s="211"/>
      <c r="E13" s="211"/>
      <c r="F13" s="211"/>
    </row>
    <row r="14" spans="1:6" s="15" customFormat="1" ht="162.75" customHeight="1">
      <c r="A14" s="211" t="s">
        <v>12</v>
      </c>
      <c r="B14" s="211"/>
      <c r="C14" s="211"/>
      <c r="D14" s="211"/>
      <c r="E14" s="211"/>
      <c r="F14" s="211"/>
    </row>
    <row r="15" spans="1:6" s="9" customFormat="1">
      <c r="A15" s="6"/>
      <c r="B15" s="7"/>
      <c r="C15" s="6"/>
      <c r="D15" s="8"/>
      <c r="E15" s="6"/>
      <c r="F15" s="6"/>
    </row>
    <row r="16" spans="1:6" s="9" customFormat="1">
      <c r="A16" s="6"/>
      <c r="B16" s="7"/>
      <c r="C16" s="6"/>
      <c r="D16" s="8"/>
      <c r="E16" s="6"/>
      <c r="F16" s="6"/>
    </row>
    <row r="17" spans="1:6" s="13" customFormat="1">
      <c r="A17" s="12"/>
      <c r="B17" s="11" t="s">
        <v>13</v>
      </c>
      <c r="C17" s="12"/>
      <c r="D17" s="8"/>
      <c r="E17" s="6"/>
      <c r="F17" s="6"/>
    </row>
    <row r="18" spans="1:6" s="13" customFormat="1">
      <c r="A18" s="12"/>
      <c r="B18" s="14" t="s">
        <v>14</v>
      </c>
      <c r="C18" s="12"/>
      <c r="D18" s="8"/>
      <c r="E18" s="6"/>
      <c r="F18" s="6"/>
    </row>
    <row r="19" spans="1:6" s="13" customFormat="1">
      <c r="A19" s="12"/>
      <c r="B19" s="14"/>
      <c r="C19" s="12"/>
      <c r="D19" s="8"/>
      <c r="E19" s="6"/>
      <c r="F19" s="6"/>
    </row>
    <row r="20" spans="1:6" s="13" customFormat="1">
      <c r="A20" s="12"/>
      <c r="B20" s="10"/>
      <c r="C20" s="12"/>
      <c r="D20" s="8"/>
      <c r="E20" s="6"/>
      <c r="F20" s="6"/>
    </row>
    <row r="21" spans="1:6" s="13" customFormat="1">
      <c r="A21" s="12"/>
      <c r="B21" s="10"/>
      <c r="C21" s="12"/>
      <c r="D21" s="8"/>
      <c r="E21" s="6"/>
      <c r="F21" s="6"/>
    </row>
    <row r="22" spans="1:6" s="13" customFormat="1">
      <c r="A22" s="12"/>
      <c r="B22" s="10" t="s">
        <v>15</v>
      </c>
      <c r="C22" s="12"/>
      <c r="D22" s="8"/>
      <c r="E22" s="6"/>
      <c r="F22" s="6"/>
    </row>
    <row r="23" spans="1:6" s="13" customFormat="1">
      <c r="A23" s="12"/>
      <c r="B23" s="10" t="s">
        <v>16</v>
      </c>
      <c r="C23" s="12"/>
      <c r="D23" s="8"/>
      <c r="E23" s="6"/>
      <c r="F23" s="6"/>
    </row>
    <row r="24" spans="1:6" s="16" customFormat="1">
      <c r="A24" s="22"/>
      <c r="B24" s="25"/>
      <c r="C24" s="25"/>
      <c r="D24" s="29"/>
      <c r="E24" s="22"/>
      <c r="F24" s="22"/>
    </row>
    <row r="25" spans="1:6" s="16" customFormat="1">
      <c r="A25" s="22"/>
      <c r="B25" s="25"/>
      <c r="C25" s="25"/>
      <c r="D25" s="29"/>
      <c r="E25" s="22"/>
      <c r="F25" s="22"/>
    </row>
  </sheetData>
  <protectedRanges>
    <protectedRange sqref="E4" name="Range1"/>
    <protectedRange sqref="E6:E9" name="Range1_9"/>
  </protectedRanges>
  <mergeCells count="7">
    <mergeCell ref="A12:F12"/>
    <mergeCell ref="A13:F13"/>
    <mergeCell ref="A14:F14"/>
    <mergeCell ref="B5:F5"/>
    <mergeCell ref="A2:F2"/>
    <mergeCell ref="A3:F3"/>
    <mergeCell ref="A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7731-2BF7-4E3E-BC28-3C44545BA85C}">
  <sheetPr>
    <tabColor rgb="FF00B050"/>
  </sheetPr>
  <dimension ref="A1:F113"/>
  <sheetViews>
    <sheetView zoomScale="70" zoomScaleNormal="70" workbookViewId="0">
      <selection activeCell="F1" sqref="F1"/>
    </sheetView>
  </sheetViews>
  <sheetFormatPr defaultColWidth="8.85546875" defaultRowHeight="15.75"/>
  <cols>
    <col min="1" max="1" width="9.140625" style="22" customWidth="1"/>
    <col min="2" max="2" width="66.140625" style="25" customWidth="1"/>
    <col min="3" max="3" width="16.140625" style="25" customWidth="1"/>
    <col min="4" max="4" width="15.85546875" style="29" customWidth="1"/>
    <col min="5" max="6" width="16.85546875" style="22" customWidth="1"/>
    <col min="7" max="16384" width="8.85546875" style="16"/>
  </cols>
  <sheetData>
    <row r="1" spans="1:6" s="2" customFormat="1" ht="20.45" customHeight="1">
      <c r="A1" s="65"/>
      <c r="B1" s="66"/>
      <c r="C1" s="65"/>
      <c r="D1" s="67"/>
      <c r="E1" s="68" t="s">
        <v>107</v>
      </c>
      <c r="F1" s="69"/>
    </row>
    <row r="2" spans="1:6" s="70" customFormat="1" ht="50.45" customHeight="1">
      <c r="A2" s="213" t="str">
        <f>SUM!A12</f>
        <v xml:space="preserve">ВЕДОМОСТЬ ОБЪЕМОВ РАБОТ / BILL OF QUANTITIES </v>
      </c>
      <c r="B2" s="213"/>
      <c r="C2" s="213"/>
      <c r="D2" s="213"/>
      <c r="E2" s="213"/>
      <c r="F2" s="213"/>
    </row>
    <row r="3" spans="1:6" s="36" customFormat="1" ht="60.75" customHeight="1">
      <c r="A3" s="214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14"/>
      <c r="C3" s="214"/>
      <c r="D3" s="214"/>
      <c r="E3" s="214"/>
      <c r="F3" s="214"/>
    </row>
    <row r="4" spans="1:6" s="2" customFormat="1" ht="64.349999999999994" customHeight="1">
      <c r="A4" s="71" t="s">
        <v>114</v>
      </c>
      <c r="B4" s="71" t="s">
        <v>92</v>
      </c>
      <c r="C4" s="71" t="s">
        <v>115</v>
      </c>
      <c r="D4" s="72" t="s">
        <v>116</v>
      </c>
      <c r="E4" s="87" t="s">
        <v>99</v>
      </c>
      <c r="F4" s="88" t="s">
        <v>100</v>
      </c>
    </row>
    <row r="5" spans="1:6" ht="24" customHeight="1">
      <c r="A5" s="89" t="s">
        <v>2</v>
      </c>
      <c r="B5" s="92" t="s">
        <v>891</v>
      </c>
      <c r="C5" s="30"/>
      <c r="D5" s="33"/>
      <c r="E5" s="30"/>
      <c r="F5" s="30"/>
    </row>
    <row r="6" spans="1:6" ht="24" customHeight="1">
      <c r="A6" s="89" t="s">
        <v>147</v>
      </c>
      <c r="B6" s="92" t="s">
        <v>367</v>
      </c>
      <c r="C6" s="30"/>
      <c r="D6" s="33"/>
      <c r="E6" s="30"/>
      <c r="F6" s="30"/>
    </row>
    <row r="7" spans="1:6" ht="85.5" customHeight="1">
      <c r="A7" s="26" t="s">
        <v>147</v>
      </c>
      <c r="B7" s="73" t="s">
        <v>750</v>
      </c>
      <c r="C7" s="31" t="s">
        <v>87</v>
      </c>
      <c r="D7" s="27">
        <v>1</v>
      </c>
      <c r="E7" s="18"/>
      <c r="F7" s="18">
        <f t="shared" ref="F7:F18" si="0">ROUND(D7*E7,2)</f>
        <v>0</v>
      </c>
    </row>
    <row r="8" spans="1:6" s="2" customFormat="1" ht="86.25" customHeight="1">
      <c r="A8" s="26" t="s">
        <v>139</v>
      </c>
      <c r="B8" s="73" t="s">
        <v>751</v>
      </c>
      <c r="C8" s="31" t="s">
        <v>87</v>
      </c>
      <c r="D8" s="27">
        <v>14</v>
      </c>
      <c r="E8" s="18"/>
      <c r="F8" s="18">
        <f t="shared" si="0"/>
        <v>0</v>
      </c>
    </row>
    <row r="9" spans="1:6" s="2" customFormat="1" ht="83.25" customHeight="1">
      <c r="A9" s="26" t="s">
        <v>93</v>
      </c>
      <c r="B9" s="73" t="s">
        <v>752</v>
      </c>
      <c r="C9" s="31" t="s">
        <v>87</v>
      </c>
      <c r="D9" s="27">
        <v>55</v>
      </c>
      <c r="E9" s="18"/>
      <c r="F9" s="18">
        <f t="shared" si="0"/>
        <v>0</v>
      </c>
    </row>
    <row r="10" spans="1:6" s="2" customFormat="1" ht="31.5">
      <c r="A10" s="26" t="s">
        <v>141</v>
      </c>
      <c r="B10" s="73" t="s">
        <v>753</v>
      </c>
      <c r="C10" s="31" t="s">
        <v>87</v>
      </c>
      <c r="D10" s="27">
        <v>70.5</v>
      </c>
      <c r="E10" s="18"/>
      <c r="F10" s="18">
        <f t="shared" si="0"/>
        <v>0</v>
      </c>
    </row>
    <row r="11" spans="1:6" s="2" customFormat="1" ht="31.5">
      <c r="A11" s="26" t="s">
        <v>148</v>
      </c>
      <c r="B11" s="73" t="s">
        <v>763</v>
      </c>
      <c r="C11" s="31" t="s">
        <v>762</v>
      </c>
      <c r="D11" s="27">
        <v>2</v>
      </c>
      <c r="E11" s="18"/>
      <c r="F11" s="18">
        <f t="shared" si="0"/>
        <v>0</v>
      </c>
    </row>
    <row r="12" spans="1:6" s="2" customFormat="1" ht="31.5">
      <c r="A12" s="26" t="s">
        <v>118</v>
      </c>
      <c r="B12" s="73" t="s">
        <v>754</v>
      </c>
      <c r="C12" s="31" t="s">
        <v>87</v>
      </c>
      <c r="D12" s="27">
        <v>10</v>
      </c>
      <c r="E12" s="18"/>
      <c r="F12" s="18">
        <f t="shared" si="0"/>
        <v>0</v>
      </c>
    </row>
    <row r="13" spans="1:6" s="2" customFormat="1" ht="31.5">
      <c r="A13" s="26" t="s">
        <v>119</v>
      </c>
      <c r="B13" s="73" t="s">
        <v>755</v>
      </c>
      <c r="C13" s="31" t="s">
        <v>762</v>
      </c>
      <c r="D13" s="27">
        <v>3</v>
      </c>
      <c r="E13" s="18"/>
      <c r="F13" s="18">
        <f t="shared" si="0"/>
        <v>0</v>
      </c>
    </row>
    <row r="14" spans="1:6" s="2" customFormat="1" ht="47.25">
      <c r="A14" s="26" t="s">
        <v>120</v>
      </c>
      <c r="B14" s="73" t="s">
        <v>756</v>
      </c>
      <c r="C14" s="31" t="s">
        <v>87</v>
      </c>
      <c r="D14" s="27">
        <v>2</v>
      </c>
      <c r="E14" s="18"/>
      <c r="F14" s="18">
        <f t="shared" si="0"/>
        <v>0</v>
      </c>
    </row>
    <row r="15" spans="1:6" s="2" customFormat="1" ht="47.25">
      <c r="A15" s="26" t="s">
        <v>121</v>
      </c>
      <c r="B15" s="73" t="s">
        <v>757</v>
      </c>
      <c r="C15" s="31" t="s">
        <v>86</v>
      </c>
      <c r="D15" s="27">
        <v>2.15</v>
      </c>
      <c r="E15" s="18"/>
      <c r="F15" s="18">
        <f t="shared" si="0"/>
        <v>0</v>
      </c>
    </row>
    <row r="16" spans="1:6" s="2" customFormat="1" ht="31.5">
      <c r="A16" s="26" t="s">
        <v>149</v>
      </c>
      <c r="B16" s="73" t="s">
        <v>758</v>
      </c>
      <c r="C16" s="31" t="s">
        <v>86</v>
      </c>
      <c r="D16" s="27">
        <v>1.9</v>
      </c>
      <c r="E16" s="18"/>
      <c r="F16" s="18">
        <f t="shared" si="0"/>
        <v>0</v>
      </c>
    </row>
    <row r="17" spans="1:6" s="2" customFormat="1" ht="126">
      <c r="A17" s="26" t="s">
        <v>150</v>
      </c>
      <c r="B17" s="73" t="s">
        <v>759</v>
      </c>
      <c r="C17" s="136" t="s">
        <v>764</v>
      </c>
      <c r="D17" s="27">
        <v>1</v>
      </c>
      <c r="E17" s="18"/>
      <c r="F17" s="18">
        <f t="shared" si="0"/>
        <v>0</v>
      </c>
    </row>
    <row r="18" spans="1:6" s="2" customFormat="1" ht="31.5">
      <c r="A18" s="26" t="s">
        <v>151</v>
      </c>
      <c r="B18" s="73" t="s">
        <v>760</v>
      </c>
      <c r="C18" s="31" t="s">
        <v>87</v>
      </c>
      <c r="D18" s="27">
        <v>30</v>
      </c>
      <c r="E18" s="18"/>
      <c r="F18" s="18">
        <f t="shared" si="0"/>
        <v>0</v>
      </c>
    </row>
    <row r="19" spans="1:6" s="2" customFormat="1">
      <c r="A19" s="26" t="s">
        <v>152</v>
      </c>
      <c r="B19" s="73" t="s">
        <v>761</v>
      </c>
      <c r="C19" s="31" t="s">
        <v>91</v>
      </c>
      <c r="D19" s="27">
        <v>24</v>
      </c>
      <c r="E19" s="18"/>
      <c r="F19" s="18">
        <f t="shared" ref="F19" si="1">ROUND(D19*E19,2)</f>
        <v>0</v>
      </c>
    </row>
    <row r="20" spans="1:6">
      <c r="A20" s="23"/>
      <c r="B20" s="32" t="s">
        <v>17</v>
      </c>
      <c r="C20" s="19"/>
      <c r="D20" s="28"/>
      <c r="E20" s="20"/>
      <c r="F20" s="20">
        <f>SUM(F7:F19)</f>
        <v>0</v>
      </c>
    </row>
    <row r="21" spans="1:6" ht="31.5">
      <c r="A21" s="89" t="s">
        <v>139</v>
      </c>
      <c r="B21" s="91" t="s">
        <v>552</v>
      </c>
      <c r="C21" s="89"/>
      <c r="D21" s="89"/>
      <c r="E21" s="89"/>
      <c r="F21" s="89"/>
    </row>
    <row r="22" spans="1:6" ht="18.75" customHeight="1">
      <c r="A22" s="89" t="s">
        <v>31</v>
      </c>
      <c r="B22" s="91" t="s">
        <v>145</v>
      </c>
      <c r="C22" s="89"/>
      <c r="D22" s="89"/>
      <c r="E22" s="89"/>
      <c r="F22" s="89"/>
    </row>
    <row r="23" spans="1:6" ht="31.5">
      <c r="A23" s="26" t="s">
        <v>892</v>
      </c>
      <c r="B23" s="73" t="s">
        <v>553</v>
      </c>
      <c r="C23" s="31" t="s">
        <v>86</v>
      </c>
      <c r="D23" s="27">
        <v>0.32</v>
      </c>
      <c r="E23" s="18"/>
      <c r="F23" s="18">
        <f t="shared" ref="F23:F61" si="2">ROUND(D23*E23,2)</f>
        <v>0</v>
      </c>
    </row>
    <row r="24" spans="1:6" ht="18.75" customHeight="1">
      <c r="A24" s="89" t="s">
        <v>32</v>
      </c>
      <c r="B24" s="91" t="s">
        <v>140</v>
      </c>
      <c r="C24" s="89"/>
      <c r="D24" s="89"/>
      <c r="E24" s="89"/>
      <c r="F24" s="89"/>
    </row>
    <row r="25" spans="1:6" ht="31.5">
      <c r="A25" s="26" t="s">
        <v>810</v>
      </c>
      <c r="B25" s="73" t="s">
        <v>554</v>
      </c>
      <c r="C25" s="31" t="s">
        <v>86</v>
      </c>
      <c r="D25" s="27">
        <v>0.32640000000000002</v>
      </c>
      <c r="E25" s="18"/>
      <c r="F25" s="18">
        <f t="shared" si="2"/>
        <v>0</v>
      </c>
    </row>
    <row r="26" spans="1:6" ht="31.5">
      <c r="A26" s="26" t="s">
        <v>811</v>
      </c>
      <c r="B26" s="73" t="s">
        <v>555</v>
      </c>
      <c r="C26" s="31" t="s">
        <v>86</v>
      </c>
      <c r="D26" s="27">
        <v>0.26519999999999999</v>
      </c>
      <c r="E26" s="18"/>
      <c r="F26" s="18">
        <f t="shared" si="2"/>
        <v>0</v>
      </c>
    </row>
    <row r="27" spans="1:6" ht="18.75" customHeight="1">
      <c r="A27" s="89" t="s">
        <v>33</v>
      </c>
      <c r="B27" s="91" t="s">
        <v>973</v>
      </c>
      <c r="C27" s="89"/>
      <c r="D27" s="89"/>
      <c r="E27" s="89"/>
      <c r="F27" s="89"/>
    </row>
    <row r="28" spans="1:6">
      <c r="A28" s="26" t="s">
        <v>314</v>
      </c>
      <c r="B28" s="73" t="s">
        <v>556</v>
      </c>
      <c r="C28" s="31" t="s">
        <v>89</v>
      </c>
      <c r="D28" s="27">
        <v>1</v>
      </c>
      <c r="E28" s="18"/>
      <c r="F28" s="18">
        <f t="shared" si="2"/>
        <v>0</v>
      </c>
    </row>
    <row r="29" spans="1:6" s="13" customFormat="1" ht="31.5">
      <c r="A29" s="26" t="s">
        <v>315</v>
      </c>
      <c r="B29" s="127" t="s">
        <v>350</v>
      </c>
      <c r="C29" s="128" t="s">
        <v>87</v>
      </c>
      <c r="D29" s="195">
        <v>15</v>
      </c>
      <c r="E29" s="31"/>
      <c r="F29" s="129">
        <f t="shared" si="2"/>
        <v>0</v>
      </c>
    </row>
    <row r="30" spans="1:6">
      <c r="A30" s="26" t="s">
        <v>316</v>
      </c>
      <c r="B30" s="73" t="s">
        <v>557</v>
      </c>
      <c r="C30" s="31" t="s">
        <v>86</v>
      </c>
      <c r="D30" s="27">
        <v>3.78E-2</v>
      </c>
      <c r="E30" s="18"/>
      <c r="F30" s="129">
        <f t="shared" si="2"/>
        <v>0</v>
      </c>
    </row>
    <row r="31" spans="1:6" ht="24.6" customHeight="1">
      <c r="A31" s="26" t="s">
        <v>317</v>
      </c>
      <c r="B31" s="73" t="s">
        <v>837</v>
      </c>
      <c r="C31" s="31" t="s">
        <v>91</v>
      </c>
      <c r="D31" s="27">
        <v>1.89</v>
      </c>
      <c r="E31" s="18"/>
      <c r="F31" s="129">
        <f t="shared" si="2"/>
        <v>0</v>
      </c>
    </row>
    <row r="32" spans="1:6" ht="31.5">
      <c r="A32" s="26" t="s">
        <v>201</v>
      </c>
      <c r="B32" s="73" t="s">
        <v>558</v>
      </c>
      <c r="C32" s="31" t="s">
        <v>91</v>
      </c>
      <c r="D32" s="27">
        <f>0.0156*100</f>
        <v>1.5599999999999998</v>
      </c>
      <c r="E32" s="18"/>
      <c r="F32" s="129">
        <f t="shared" si="2"/>
        <v>0</v>
      </c>
    </row>
    <row r="33" spans="1:6" ht="18.75" customHeight="1">
      <c r="A33" s="89" t="s">
        <v>34</v>
      </c>
      <c r="B33" s="91" t="s">
        <v>559</v>
      </c>
      <c r="C33" s="89"/>
      <c r="D33" s="89"/>
      <c r="E33" s="89"/>
      <c r="F33" s="89"/>
    </row>
    <row r="34" spans="1:6">
      <c r="A34" s="26" t="s">
        <v>928</v>
      </c>
      <c r="B34" s="73" t="s">
        <v>560</v>
      </c>
      <c r="C34" s="31" t="s">
        <v>86</v>
      </c>
      <c r="D34" s="27">
        <v>0.35399999999999998</v>
      </c>
      <c r="E34" s="18"/>
      <c r="F34" s="129">
        <f t="shared" si="2"/>
        <v>0</v>
      </c>
    </row>
    <row r="35" spans="1:6" ht="47.25">
      <c r="A35" s="26" t="s">
        <v>929</v>
      </c>
      <c r="B35" s="73" t="s">
        <v>561</v>
      </c>
      <c r="C35" s="31" t="s">
        <v>88</v>
      </c>
      <c r="D35" s="27">
        <v>6.2E-2</v>
      </c>
      <c r="E35" s="18"/>
      <c r="F35" s="129">
        <f t="shared" si="2"/>
        <v>0</v>
      </c>
    </row>
    <row r="36" spans="1:6" ht="31.5">
      <c r="A36" s="26" t="s">
        <v>930</v>
      </c>
      <c r="B36" s="73" t="s">
        <v>838</v>
      </c>
      <c r="C36" s="31" t="s">
        <v>86</v>
      </c>
      <c r="D36" s="27">
        <v>3.54</v>
      </c>
      <c r="E36" s="18"/>
      <c r="F36" s="129">
        <f t="shared" si="2"/>
        <v>0</v>
      </c>
    </row>
    <row r="37" spans="1:6">
      <c r="A37" s="26" t="s">
        <v>931</v>
      </c>
      <c r="B37" s="73" t="s">
        <v>562</v>
      </c>
      <c r="C37" s="31" t="s">
        <v>91</v>
      </c>
      <c r="D37" s="27">
        <f>0.059*100</f>
        <v>5.8999999999999995</v>
      </c>
      <c r="E37" s="18"/>
      <c r="F37" s="129">
        <f t="shared" si="2"/>
        <v>0</v>
      </c>
    </row>
    <row r="38" spans="1:6" ht="18.75" customHeight="1">
      <c r="A38" s="89" t="s">
        <v>35</v>
      </c>
      <c r="B38" s="91" t="s">
        <v>973</v>
      </c>
      <c r="C38" s="89"/>
      <c r="D38" s="89"/>
      <c r="E38" s="89"/>
      <c r="F38" s="89"/>
    </row>
    <row r="39" spans="1:6" ht="31.5">
      <c r="A39" s="26" t="s">
        <v>932</v>
      </c>
      <c r="B39" s="73" t="s">
        <v>563</v>
      </c>
      <c r="C39" s="31" t="s">
        <v>86</v>
      </c>
      <c r="D39" s="27">
        <v>1.2216</v>
      </c>
      <c r="E39" s="18"/>
      <c r="F39" s="129">
        <f t="shared" si="2"/>
        <v>0</v>
      </c>
    </row>
    <row r="40" spans="1:6" ht="47.25">
      <c r="A40" s="26" t="s">
        <v>933</v>
      </c>
      <c r="B40" s="73" t="s">
        <v>564</v>
      </c>
      <c r="C40" s="31" t="s">
        <v>88</v>
      </c>
      <c r="D40" s="27">
        <v>9.4E-2</v>
      </c>
      <c r="E40" s="18"/>
      <c r="F40" s="129">
        <f t="shared" si="2"/>
        <v>0</v>
      </c>
    </row>
    <row r="41" spans="1:6" ht="31.5">
      <c r="A41" s="26" t="s">
        <v>934</v>
      </c>
      <c r="B41" s="73" t="s">
        <v>565</v>
      </c>
      <c r="C41" s="31" t="s">
        <v>86</v>
      </c>
      <c r="D41" s="27">
        <v>1.2216</v>
      </c>
      <c r="E41" s="18"/>
      <c r="F41" s="129">
        <f t="shared" si="2"/>
        <v>0</v>
      </c>
    </row>
    <row r="42" spans="1:6" ht="31.5">
      <c r="A42" s="26" t="s">
        <v>935</v>
      </c>
      <c r="B42" s="73" t="s">
        <v>566</v>
      </c>
      <c r="C42" s="31" t="s">
        <v>91</v>
      </c>
      <c r="D42" s="27">
        <f>0.2036*100</f>
        <v>20.36</v>
      </c>
      <c r="E42" s="18"/>
      <c r="F42" s="129">
        <f t="shared" si="2"/>
        <v>0</v>
      </c>
    </row>
    <row r="43" spans="1:6" ht="63">
      <c r="A43" s="26" t="s">
        <v>936</v>
      </c>
      <c r="B43" s="73" t="s">
        <v>567</v>
      </c>
      <c r="C43" s="31" t="s">
        <v>91</v>
      </c>
      <c r="D43" s="27">
        <f>0.013*100</f>
        <v>1.3</v>
      </c>
      <c r="E43" s="18"/>
      <c r="F43" s="129">
        <f t="shared" si="2"/>
        <v>0</v>
      </c>
    </row>
    <row r="44" spans="1:6" ht="18.75" customHeight="1">
      <c r="A44" s="89" t="s">
        <v>36</v>
      </c>
      <c r="B44" s="91" t="s">
        <v>568</v>
      </c>
      <c r="C44" s="89"/>
      <c r="D44" s="89"/>
      <c r="E44" s="89"/>
      <c r="F44" s="89"/>
    </row>
    <row r="45" spans="1:6" ht="39.75" customHeight="1">
      <c r="A45" s="26" t="s">
        <v>937</v>
      </c>
      <c r="B45" s="73" t="s">
        <v>569</v>
      </c>
      <c r="C45" s="31" t="s">
        <v>91</v>
      </c>
      <c r="D45" s="27">
        <v>6</v>
      </c>
      <c r="E45" s="18"/>
      <c r="F45" s="129">
        <f t="shared" si="2"/>
        <v>0</v>
      </c>
    </row>
    <row r="46" spans="1:6" ht="47.25">
      <c r="A46" s="26" t="s">
        <v>938</v>
      </c>
      <c r="B46" s="73" t="s">
        <v>570</v>
      </c>
      <c r="C46" s="31" t="s">
        <v>86</v>
      </c>
      <c r="D46" s="27">
        <v>0.59</v>
      </c>
      <c r="E46" s="18"/>
      <c r="F46" s="129">
        <f t="shared" si="2"/>
        <v>0</v>
      </c>
    </row>
    <row r="47" spans="1:6" ht="18.75" customHeight="1">
      <c r="A47" s="89" t="s">
        <v>25</v>
      </c>
      <c r="B47" s="91" t="s">
        <v>571</v>
      </c>
      <c r="C47" s="89"/>
      <c r="D47" s="89"/>
      <c r="E47" s="89"/>
      <c r="F47" s="89"/>
    </row>
    <row r="48" spans="1:6" ht="47.25">
      <c r="A48" s="26" t="s">
        <v>939</v>
      </c>
      <c r="B48" s="73" t="s">
        <v>137</v>
      </c>
      <c r="C48" s="31" t="s">
        <v>91</v>
      </c>
      <c r="D48" s="27">
        <f>0.2635*100</f>
        <v>26.35</v>
      </c>
      <c r="E48" s="18"/>
      <c r="F48" s="129">
        <f t="shared" si="2"/>
        <v>0</v>
      </c>
    </row>
    <row r="49" spans="1:6" ht="31.5">
      <c r="A49" s="26" t="s">
        <v>940</v>
      </c>
      <c r="B49" s="73" t="s">
        <v>572</v>
      </c>
      <c r="C49" s="31" t="s">
        <v>91</v>
      </c>
      <c r="D49" s="27">
        <f>0.2635*100</f>
        <v>26.35</v>
      </c>
      <c r="E49" s="18"/>
      <c r="F49" s="129">
        <f t="shared" si="2"/>
        <v>0</v>
      </c>
    </row>
    <row r="50" spans="1:6">
      <c r="A50" s="26" t="s">
        <v>941</v>
      </c>
      <c r="B50" s="73" t="s">
        <v>574</v>
      </c>
      <c r="C50" s="31" t="s">
        <v>89</v>
      </c>
      <c r="D50" s="27">
        <v>1</v>
      </c>
      <c r="E50" s="18"/>
      <c r="F50" s="129">
        <f t="shared" si="2"/>
        <v>0</v>
      </c>
    </row>
    <row r="51" spans="1:6">
      <c r="A51" s="26" t="s">
        <v>942</v>
      </c>
      <c r="B51" s="73" t="s">
        <v>351</v>
      </c>
      <c r="C51" s="31" t="s">
        <v>90</v>
      </c>
      <c r="D51" s="27">
        <v>27.8</v>
      </c>
      <c r="E51" s="18"/>
      <c r="F51" s="129">
        <f t="shared" si="2"/>
        <v>0</v>
      </c>
    </row>
    <row r="52" spans="1:6">
      <c r="A52" s="26" t="s">
        <v>943</v>
      </c>
      <c r="B52" s="73" t="s">
        <v>352</v>
      </c>
      <c r="C52" s="31" t="s">
        <v>90</v>
      </c>
      <c r="D52" s="27">
        <v>6.8</v>
      </c>
      <c r="E52" s="18"/>
      <c r="F52" s="129">
        <f t="shared" si="2"/>
        <v>0</v>
      </c>
    </row>
    <row r="53" spans="1:6">
      <c r="A53" s="26" t="s">
        <v>944</v>
      </c>
      <c r="B53" s="73" t="s">
        <v>353</v>
      </c>
      <c r="C53" s="31" t="s">
        <v>90</v>
      </c>
      <c r="D53" s="27">
        <v>0.53300000000000003</v>
      </c>
      <c r="E53" s="18"/>
      <c r="F53" s="129">
        <f t="shared" si="2"/>
        <v>0</v>
      </c>
    </row>
    <row r="54" spans="1:6">
      <c r="A54" s="26" t="s">
        <v>945</v>
      </c>
      <c r="B54" s="73" t="s">
        <v>354</v>
      </c>
      <c r="C54" s="31" t="s">
        <v>90</v>
      </c>
      <c r="D54" s="27">
        <v>0.06</v>
      </c>
      <c r="E54" s="18"/>
      <c r="F54" s="129">
        <f t="shared" si="2"/>
        <v>0</v>
      </c>
    </row>
    <row r="55" spans="1:6">
      <c r="A55" s="26" t="s">
        <v>946</v>
      </c>
      <c r="B55" s="73" t="s">
        <v>355</v>
      </c>
      <c r="C55" s="31" t="s">
        <v>90</v>
      </c>
      <c r="D55" s="27">
        <v>0.73</v>
      </c>
      <c r="E55" s="18"/>
      <c r="F55" s="129">
        <f t="shared" si="2"/>
        <v>0</v>
      </c>
    </row>
    <row r="56" spans="1:6">
      <c r="A56" s="26"/>
      <c r="B56" s="98" t="s">
        <v>573</v>
      </c>
      <c r="C56" s="130"/>
      <c r="D56" s="131"/>
      <c r="E56" s="20"/>
      <c r="F56" s="132"/>
    </row>
    <row r="57" spans="1:6">
      <c r="A57" s="26" t="s">
        <v>947</v>
      </c>
      <c r="B57" s="73" t="s">
        <v>356</v>
      </c>
      <c r="C57" s="31" t="s">
        <v>90</v>
      </c>
      <c r="D57" s="27">
        <v>0.71</v>
      </c>
      <c r="E57" s="18"/>
      <c r="F57" s="129">
        <f t="shared" si="2"/>
        <v>0</v>
      </c>
    </row>
    <row r="58" spans="1:6">
      <c r="A58" s="26" t="s">
        <v>948</v>
      </c>
      <c r="B58" s="73" t="s">
        <v>357</v>
      </c>
      <c r="C58" s="31" t="s">
        <v>90</v>
      </c>
      <c r="D58" s="27">
        <v>0.1</v>
      </c>
      <c r="E58" s="18"/>
      <c r="F58" s="129">
        <f t="shared" si="2"/>
        <v>0</v>
      </c>
    </row>
    <row r="59" spans="1:6">
      <c r="A59" s="26" t="s">
        <v>949</v>
      </c>
      <c r="B59" s="73" t="s">
        <v>354</v>
      </c>
      <c r="C59" s="31" t="s">
        <v>90</v>
      </c>
      <c r="D59" s="27">
        <v>0.03</v>
      </c>
      <c r="E59" s="18"/>
      <c r="F59" s="129">
        <f t="shared" si="2"/>
        <v>0</v>
      </c>
    </row>
    <row r="60" spans="1:6">
      <c r="A60" s="26" t="s">
        <v>950</v>
      </c>
      <c r="B60" s="73" t="s">
        <v>575</v>
      </c>
      <c r="C60" s="31" t="s">
        <v>87</v>
      </c>
      <c r="D60" s="27">
        <v>7</v>
      </c>
      <c r="E60" s="18"/>
      <c r="F60" s="129">
        <f t="shared" si="2"/>
        <v>0</v>
      </c>
    </row>
    <row r="61" spans="1:6">
      <c r="A61" s="26" t="s">
        <v>951</v>
      </c>
      <c r="B61" s="73" t="s">
        <v>576</v>
      </c>
      <c r="C61" s="31" t="s">
        <v>91</v>
      </c>
      <c r="D61" s="27">
        <v>0.46</v>
      </c>
      <c r="E61" s="18"/>
      <c r="F61" s="129">
        <f t="shared" si="2"/>
        <v>0</v>
      </c>
    </row>
    <row r="62" spans="1:6" ht="35.25" customHeight="1">
      <c r="A62" s="89" t="s">
        <v>37</v>
      </c>
      <c r="B62" s="91" t="s">
        <v>974</v>
      </c>
      <c r="C62" s="89"/>
      <c r="D62" s="89"/>
      <c r="E62" s="89"/>
      <c r="F62" s="89"/>
    </row>
    <row r="63" spans="1:6" ht="31.5">
      <c r="A63" s="23"/>
      <c r="B63" s="32" t="s">
        <v>577</v>
      </c>
      <c r="C63" s="19"/>
      <c r="D63" s="28"/>
      <c r="E63" s="20"/>
      <c r="F63" s="20"/>
    </row>
    <row r="64" spans="1:6" ht="47.25">
      <c r="A64" s="26" t="s">
        <v>952</v>
      </c>
      <c r="B64" s="99" t="s">
        <v>578</v>
      </c>
      <c r="C64" s="101" t="s">
        <v>89</v>
      </c>
      <c r="D64" s="100">
        <v>1</v>
      </c>
      <c r="E64" s="18"/>
      <c r="F64" s="129">
        <f t="shared" ref="F64:F83" si="3">ROUND(D64*E64,2)</f>
        <v>0</v>
      </c>
    </row>
    <row r="65" spans="1:6" ht="41.25" customHeight="1">
      <c r="A65" s="26" t="s">
        <v>953</v>
      </c>
      <c r="B65" s="73" t="s">
        <v>579</v>
      </c>
      <c r="C65" s="101" t="s">
        <v>89</v>
      </c>
      <c r="D65" s="100">
        <v>1</v>
      </c>
      <c r="E65" s="18"/>
      <c r="F65" s="129">
        <f t="shared" si="3"/>
        <v>0</v>
      </c>
    </row>
    <row r="66" spans="1:6" ht="19.5" customHeight="1">
      <c r="A66" s="26" t="s">
        <v>954</v>
      </c>
      <c r="B66" s="73" t="s">
        <v>580</v>
      </c>
      <c r="C66" s="31" t="s">
        <v>89</v>
      </c>
      <c r="D66" s="27">
        <v>1</v>
      </c>
      <c r="E66" s="18"/>
      <c r="F66" s="129">
        <f t="shared" si="3"/>
        <v>0</v>
      </c>
    </row>
    <row r="67" spans="1:6" ht="31.5">
      <c r="A67" s="26" t="s">
        <v>955</v>
      </c>
      <c r="B67" s="73" t="s">
        <v>161</v>
      </c>
      <c r="C67" s="31" t="s">
        <v>89</v>
      </c>
      <c r="D67" s="27">
        <v>1</v>
      </c>
      <c r="E67" s="18"/>
      <c r="F67" s="129">
        <f t="shared" si="3"/>
        <v>0</v>
      </c>
    </row>
    <row r="68" spans="1:6">
      <c r="A68" s="26" t="s">
        <v>956</v>
      </c>
      <c r="B68" s="73" t="s">
        <v>581</v>
      </c>
      <c r="C68" s="31" t="s">
        <v>89</v>
      </c>
      <c r="D68" s="27">
        <v>1</v>
      </c>
      <c r="E68" s="18"/>
      <c r="F68" s="129">
        <f t="shared" si="3"/>
        <v>0</v>
      </c>
    </row>
    <row r="69" spans="1:6" ht="31.5">
      <c r="A69" s="26" t="s">
        <v>957</v>
      </c>
      <c r="B69" s="73" t="s">
        <v>582</v>
      </c>
      <c r="C69" s="31" t="s">
        <v>89</v>
      </c>
      <c r="D69" s="27">
        <v>1</v>
      </c>
      <c r="E69" s="18"/>
      <c r="F69" s="129">
        <f t="shared" si="3"/>
        <v>0</v>
      </c>
    </row>
    <row r="70" spans="1:6" ht="110.25">
      <c r="A70" s="26" t="s">
        <v>958</v>
      </c>
      <c r="B70" s="73" t="s">
        <v>583</v>
      </c>
      <c r="C70" s="31" t="s">
        <v>89</v>
      </c>
      <c r="D70" s="27">
        <v>1</v>
      </c>
      <c r="E70" s="18"/>
      <c r="F70" s="129">
        <f t="shared" si="3"/>
        <v>0</v>
      </c>
    </row>
    <row r="71" spans="1:6" ht="78.75">
      <c r="A71" s="26" t="s">
        <v>959</v>
      </c>
      <c r="B71" s="73" t="s">
        <v>584</v>
      </c>
      <c r="C71" s="31" t="s">
        <v>89</v>
      </c>
      <c r="D71" s="27">
        <v>1</v>
      </c>
      <c r="E71" s="18"/>
      <c r="F71" s="129">
        <f t="shared" si="3"/>
        <v>0</v>
      </c>
    </row>
    <row r="72" spans="1:6" ht="78.75">
      <c r="A72" s="26" t="s">
        <v>960</v>
      </c>
      <c r="B72" s="73" t="s">
        <v>585</v>
      </c>
      <c r="C72" s="31" t="s">
        <v>89</v>
      </c>
      <c r="D72" s="27">
        <v>1</v>
      </c>
      <c r="E72" s="18"/>
      <c r="F72" s="129">
        <f t="shared" si="3"/>
        <v>0</v>
      </c>
    </row>
    <row r="73" spans="1:6" ht="47.25">
      <c r="A73" s="26" t="s">
        <v>961</v>
      </c>
      <c r="B73" s="73" t="s">
        <v>586</v>
      </c>
      <c r="C73" s="31" t="s">
        <v>87</v>
      </c>
      <c r="D73" s="27">
        <v>2.5</v>
      </c>
      <c r="E73" s="18"/>
      <c r="F73" s="129">
        <f t="shared" si="3"/>
        <v>0</v>
      </c>
    </row>
    <row r="74" spans="1:6">
      <c r="A74" s="26" t="s">
        <v>962</v>
      </c>
      <c r="B74" s="73" t="s">
        <v>587</v>
      </c>
      <c r="C74" s="31" t="s">
        <v>89</v>
      </c>
      <c r="D74" s="27">
        <v>2</v>
      </c>
      <c r="E74" s="18"/>
      <c r="F74" s="129">
        <f t="shared" si="3"/>
        <v>0</v>
      </c>
    </row>
    <row r="75" spans="1:6" ht="31.5">
      <c r="A75" s="26" t="s">
        <v>963</v>
      </c>
      <c r="B75" s="73" t="s">
        <v>588</v>
      </c>
      <c r="C75" s="31" t="s">
        <v>89</v>
      </c>
      <c r="D75" s="27">
        <v>1</v>
      </c>
      <c r="E75" s="18"/>
      <c r="F75" s="129">
        <f t="shared" si="3"/>
        <v>0</v>
      </c>
    </row>
    <row r="76" spans="1:6" ht="47.25">
      <c r="A76" s="26" t="s">
        <v>964</v>
      </c>
      <c r="B76" s="73" t="s">
        <v>589</v>
      </c>
      <c r="C76" s="31" t="s">
        <v>87</v>
      </c>
      <c r="D76" s="27">
        <v>1.5</v>
      </c>
      <c r="E76" s="18"/>
      <c r="F76" s="129">
        <f t="shared" si="3"/>
        <v>0</v>
      </c>
    </row>
    <row r="77" spans="1:6">
      <c r="A77" s="26" t="s">
        <v>965</v>
      </c>
      <c r="B77" s="73" t="s">
        <v>590</v>
      </c>
      <c r="C77" s="31" t="s">
        <v>89</v>
      </c>
      <c r="D77" s="27">
        <v>1</v>
      </c>
      <c r="E77" s="18"/>
      <c r="F77" s="129">
        <f t="shared" si="3"/>
        <v>0</v>
      </c>
    </row>
    <row r="78" spans="1:6" ht="47.25">
      <c r="A78" s="26" t="s">
        <v>966</v>
      </c>
      <c r="B78" s="73" t="s">
        <v>591</v>
      </c>
      <c r="C78" s="31" t="s">
        <v>87</v>
      </c>
      <c r="D78" s="27">
        <v>2</v>
      </c>
      <c r="E78" s="18"/>
      <c r="F78" s="129">
        <f t="shared" si="3"/>
        <v>0</v>
      </c>
    </row>
    <row r="79" spans="1:6">
      <c r="A79" s="26" t="s">
        <v>967</v>
      </c>
      <c r="B79" s="73" t="s">
        <v>592</v>
      </c>
      <c r="C79" s="31" t="s">
        <v>89</v>
      </c>
      <c r="D79" s="27">
        <v>3</v>
      </c>
      <c r="E79" s="18"/>
      <c r="F79" s="129">
        <f t="shared" si="3"/>
        <v>0</v>
      </c>
    </row>
    <row r="80" spans="1:6" ht="78.75">
      <c r="A80" s="26" t="s">
        <v>968</v>
      </c>
      <c r="B80" s="73" t="s">
        <v>593</v>
      </c>
      <c r="C80" s="31" t="s">
        <v>87</v>
      </c>
      <c r="D80" s="27">
        <v>30</v>
      </c>
      <c r="E80" s="18"/>
      <c r="F80" s="129">
        <f t="shared" si="3"/>
        <v>0</v>
      </c>
    </row>
    <row r="81" spans="1:6" ht="63">
      <c r="A81" s="26" t="s">
        <v>969</v>
      </c>
      <c r="B81" s="73" t="s">
        <v>594</v>
      </c>
      <c r="C81" s="31" t="s">
        <v>87</v>
      </c>
      <c r="D81" s="27">
        <v>0.5</v>
      </c>
      <c r="E81" s="18"/>
      <c r="F81" s="129">
        <f t="shared" si="3"/>
        <v>0</v>
      </c>
    </row>
    <row r="82" spans="1:6" ht="31.5">
      <c r="A82" s="26" t="s">
        <v>970</v>
      </c>
      <c r="B82" s="73" t="s">
        <v>595</v>
      </c>
      <c r="C82" s="31" t="s">
        <v>91</v>
      </c>
      <c r="D82" s="27">
        <f>0.025*100</f>
        <v>2.5</v>
      </c>
      <c r="E82" s="18"/>
      <c r="F82" s="129">
        <f t="shared" si="3"/>
        <v>0</v>
      </c>
    </row>
    <row r="83" spans="1:6" ht="31.5">
      <c r="A83" s="26" t="s">
        <v>971</v>
      </c>
      <c r="B83" s="73" t="s">
        <v>596</v>
      </c>
      <c r="C83" s="31" t="s">
        <v>86</v>
      </c>
      <c r="D83" s="27">
        <v>0.04</v>
      </c>
      <c r="E83" s="18"/>
      <c r="F83" s="129">
        <f t="shared" si="3"/>
        <v>0</v>
      </c>
    </row>
    <row r="84" spans="1:6">
      <c r="A84" s="23"/>
      <c r="B84" s="32" t="s">
        <v>17</v>
      </c>
      <c r="C84" s="19"/>
      <c r="D84" s="28"/>
      <c r="E84" s="20"/>
      <c r="F84" s="20">
        <f>SUM(F23:F83)</f>
        <v>0</v>
      </c>
    </row>
    <row r="85" spans="1:6" ht="18.75" customHeight="1">
      <c r="A85" s="89" t="s">
        <v>93</v>
      </c>
      <c r="B85" s="91" t="s">
        <v>621</v>
      </c>
      <c r="C85" s="89"/>
      <c r="D85" s="89"/>
      <c r="E85" s="89"/>
      <c r="F85" s="89"/>
    </row>
    <row r="86" spans="1:6" ht="18.75" customHeight="1">
      <c r="A86" s="89" t="s">
        <v>54</v>
      </c>
      <c r="B86" s="92" t="s">
        <v>129</v>
      </c>
      <c r="C86" s="89"/>
      <c r="D86" s="89"/>
      <c r="E86" s="89"/>
      <c r="F86" s="89"/>
    </row>
    <row r="87" spans="1:6" ht="47.25">
      <c r="A87" s="26" t="s">
        <v>894</v>
      </c>
      <c r="B87" s="73" t="s">
        <v>729</v>
      </c>
      <c r="C87" s="31" t="s">
        <v>86</v>
      </c>
      <c r="D87" s="27">
        <v>0.2</v>
      </c>
      <c r="E87" s="18"/>
      <c r="F87" s="18">
        <f t="shared" ref="F87:F89" si="4">ROUND(D87*E87,2)</f>
        <v>0</v>
      </c>
    </row>
    <row r="88" spans="1:6" ht="31.5">
      <c r="A88" s="26" t="s">
        <v>895</v>
      </c>
      <c r="B88" s="73" t="s">
        <v>734</v>
      </c>
      <c r="C88" s="31" t="s">
        <v>88</v>
      </c>
      <c r="D88" s="27">
        <v>2.4E-2</v>
      </c>
      <c r="E88" s="18"/>
      <c r="F88" s="18">
        <f t="shared" si="4"/>
        <v>0</v>
      </c>
    </row>
    <row r="89" spans="1:6" ht="47.25">
      <c r="A89" s="26" t="s">
        <v>896</v>
      </c>
      <c r="B89" s="73" t="s">
        <v>733</v>
      </c>
      <c r="C89" s="31" t="s">
        <v>86</v>
      </c>
      <c r="D89" s="27">
        <v>0.2</v>
      </c>
      <c r="E89" s="18"/>
      <c r="F89" s="18">
        <f t="shared" si="4"/>
        <v>0</v>
      </c>
    </row>
    <row r="90" spans="1:6" ht="31.5">
      <c r="A90" s="26" t="s">
        <v>897</v>
      </c>
      <c r="B90" s="73" t="s">
        <v>518</v>
      </c>
      <c r="C90" s="31" t="s">
        <v>88</v>
      </c>
      <c r="D90" s="27">
        <v>0.128</v>
      </c>
      <c r="E90" s="18"/>
      <c r="F90" s="18">
        <f>ROUND(D90*E90,2)</f>
        <v>0</v>
      </c>
    </row>
    <row r="91" spans="1:6">
      <c r="A91" s="89" t="s">
        <v>55</v>
      </c>
      <c r="B91" s="92" t="s">
        <v>144</v>
      </c>
      <c r="C91" s="30"/>
      <c r="D91" s="33"/>
      <c r="E91" s="30"/>
      <c r="F91" s="30"/>
    </row>
    <row r="92" spans="1:6" ht="47.25">
      <c r="A92" s="26" t="s">
        <v>901</v>
      </c>
      <c r="B92" s="73" t="s">
        <v>731</v>
      </c>
      <c r="C92" s="31" t="s">
        <v>89</v>
      </c>
      <c r="D92" s="27">
        <v>2</v>
      </c>
      <c r="E92" s="18"/>
      <c r="F92" s="18">
        <f t="shared" ref="F92:F94" si="5">ROUND(D92*E92,2)</f>
        <v>0</v>
      </c>
    </row>
    <row r="93" spans="1:6">
      <c r="A93" s="26"/>
      <c r="B93" s="98" t="s">
        <v>730</v>
      </c>
      <c r="C93" s="31"/>
      <c r="D93" s="27"/>
      <c r="E93" s="18"/>
      <c r="F93" s="18"/>
    </row>
    <row r="94" spans="1:6" ht="94.5">
      <c r="A94" s="26" t="s">
        <v>902</v>
      </c>
      <c r="B94" s="73" t="s">
        <v>732</v>
      </c>
      <c r="C94" s="31" t="s">
        <v>89</v>
      </c>
      <c r="D94" s="27">
        <v>2</v>
      </c>
      <c r="E94" s="18"/>
      <c r="F94" s="18">
        <f t="shared" si="5"/>
        <v>0</v>
      </c>
    </row>
    <row r="95" spans="1:6" ht="21" customHeight="1">
      <c r="A95" s="23"/>
      <c r="B95" s="32" t="s">
        <v>17</v>
      </c>
      <c r="C95" s="19"/>
      <c r="D95" s="28"/>
      <c r="E95" s="20"/>
      <c r="F95" s="20">
        <f>SUM(F87:F94)</f>
        <v>0</v>
      </c>
    </row>
    <row r="96" spans="1:6" s="2" customFormat="1">
      <c r="A96" s="1" t="s">
        <v>2</v>
      </c>
      <c r="B96" s="216" t="s">
        <v>7</v>
      </c>
      <c r="C96" s="216"/>
      <c r="D96" s="216"/>
      <c r="E96" s="216"/>
      <c r="F96" s="216"/>
    </row>
    <row r="97" spans="1:6" s="2" customFormat="1" ht="20.25" customHeight="1">
      <c r="A97" s="3">
        <v>1</v>
      </c>
      <c r="B97" s="215" t="str">
        <f>B5</f>
        <v>Бурение скважины / Borehole drilling</v>
      </c>
      <c r="C97" s="215"/>
      <c r="D97" s="215"/>
      <c r="E97" s="215"/>
      <c r="F97" s="4">
        <f>F20</f>
        <v>0</v>
      </c>
    </row>
    <row r="98" spans="1:6" s="2" customFormat="1" ht="24" customHeight="1">
      <c r="A98" s="3">
        <v>2</v>
      </c>
      <c r="B98" s="215" t="str">
        <f>B21</f>
        <v>Обшестроительное Контенер (3х2,44) / General construction Container (3x2.44)</v>
      </c>
      <c r="C98" s="215"/>
      <c r="D98" s="215"/>
      <c r="E98" s="215"/>
      <c r="F98" s="4">
        <f>F84</f>
        <v>0</v>
      </c>
    </row>
    <row r="99" spans="1:6" s="2" customFormat="1" ht="24" customHeight="1">
      <c r="A99" s="3">
        <v>3</v>
      </c>
      <c r="B99" s="215" t="str">
        <f>B85</f>
        <v>Наружное электроснабжение / Outdoor power supply</v>
      </c>
      <c r="C99" s="215"/>
      <c r="D99" s="215"/>
      <c r="E99" s="215"/>
      <c r="F99" s="4">
        <f>F95</f>
        <v>0</v>
      </c>
    </row>
    <row r="100" spans="1:6" s="2" customFormat="1" ht="20.85" customHeight="1">
      <c r="A100" s="1" t="s">
        <v>2</v>
      </c>
      <c r="B100" s="212" t="s">
        <v>8</v>
      </c>
      <c r="C100" s="212"/>
      <c r="D100" s="212"/>
      <c r="E100" s="212"/>
      <c r="F100" s="5">
        <f>SUM(F97:F99)</f>
        <v>0</v>
      </c>
    </row>
    <row r="101" spans="1:6" s="15" customFormat="1" ht="28.5" customHeight="1">
      <c r="A101" s="211" t="s">
        <v>9</v>
      </c>
      <c r="B101" s="211"/>
      <c r="C101" s="211"/>
      <c r="D101" s="211"/>
      <c r="E101" s="211"/>
      <c r="F101" s="211"/>
    </row>
    <row r="102" spans="1:6" s="15" customFormat="1" ht="195.75" customHeight="1">
      <c r="A102" s="211" t="s">
        <v>10</v>
      </c>
      <c r="B102" s="211"/>
      <c r="C102" s="211"/>
      <c r="D102" s="211"/>
      <c r="E102" s="211"/>
      <c r="F102" s="211"/>
    </row>
    <row r="103" spans="1:6" s="15" customFormat="1" ht="25.5" customHeight="1">
      <c r="A103" s="211" t="s">
        <v>11</v>
      </c>
      <c r="B103" s="211"/>
      <c r="C103" s="211"/>
      <c r="D103" s="211"/>
      <c r="E103" s="211"/>
      <c r="F103" s="211"/>
    </row>
    <row r="104" spans="1:6" s="15" customFormat="1" ht="132" customHeight="1">
      <c r="A104" s="211" t="s">
        <v>12</v>
      </c>
      <c r="B104" s="211"/>
      <c r="C104" s="211"/>
      <c r="D104" s="211"/>
      <c r="E104" s="211"/>
      <c r="F104" s="211"/>
    </row>
    <row r="105" spans="1:6" s="9" customFormat="1">
      <c r="A105" s="6"/>
      <c r="B105" s="7"/>
      <c r="C105" s="6"/>
      <c r="D105" s="8"/>
      <c r="E105" s="6"/>
      <c r="F105" s="6"/>
    </row>
    <row r="106" spans="1:6" s="9" customFormat="1">
      <c r="A106" s="6"/>
      <c r="B106" s="7"/>
      <c r="C106" s="6"/>
      <c r="D106" s="8"/>
      <c r="E106" s="6"/>
      <c r="F106" s="6"/>
    </row>
    <row r="107" spans="1:6" s="13" customFormat="1">
      <c r="A107" s="12"/>
      <c r="B107" s="11" t="s">
        <v>13</v>
      </c>
      <c r="C107" s="12"/>
      <c r="D107" s="8"/>
      <c r="E107" s="6"/>
      <c r="F107" s="6"/>
    </row>
    <row r="108" spans="1:6" s="13" customFormat="1">
      <c r="A108" s="12"/>
      <c r="B108" s="14" t="s">
        <v>14</v>
      </c>
      <c r="C108" s="12"/>
      <c r="D108" s="8"/>
      <c r="E108" s="6"/>
      <c r="F108" s="6"/>
    </row>
    <row r="109" spans="1:6" s="13" customFormat="1">
      <c r="A109" s="12"/>
      <c r="B109" s="14"/>
      <c r="C109" s="12"/>
      <c r="D109" s="8"/>
      <c r="E109" s="6"/>
      <c r="F109" s="6"/>
    </row>
    <row r="110" spans="1:6" s="13" customFormat="1">
      <c r="A110" s="12"/>
      <c r="B110" s="10"/>
      <c r="C110" s="12"/>
      <c r="D110" s="8"/>
      <c r="E110" s="6"/>
      <c r="F110" s="6"/>
    </row>
    <row r="111" spans="1:6" s="13" customFormat="1">
      <c r="A111" s="12"/>
      <c r="B111" s="10"/>
      <c r="C111" s="12"/>
      <c r="D111" s="8"/>
      <c r="E111" s="6"/>
      <c r="F111" s="6"/>
    </row>
    <row r="112" spans="1:6" s="13" customFormat="1">
      <c r="A112" s="12"/>
      <c r="B112" s="10" t="s">
        <v>15</v>
      </c>
      <c r="C112" s="12"/>
      <c r="D112" s="8"/>
      <c r="E112" s="6"/>
      <c r="F112" s="6"/>
    </row>
    <row r="113" spans="1:6" s="13" customFormat="1">
      <c r="A113" s="12"/>
      <c r="B113" s="10" t="s">
        <v>16</v>
      </c>
      <c r="C113" s="12"/>
      <c r="D113" s="8"/>
      <c r="E113" s="6"/>
      <c r="F113" s="6"/>
    </row>
  </sheetData>
  <protectedRanges>
    <protectedRange sqref="E4" name="Range1"/>
  </protectedRanges>
  <mergeCells count="11">
    <mergeCell ref="A102:F102"/>
    <mergeCell ref="A103:F103"/>
    <mergeCell ref="A104:F104"/>
    <mergeCell ref="B100:E100"/>
    <mergeCell ref="A2:F2"/>
    <mergeCell ref="A3:F3"/>
    <mergeCell ref="B97:E97"/>
    <mergeCell ref="A101:F101"/>
    <mergeCell ref="B96:F96"/>
    <mergeCell ref="B98:E98"/>
    <mergeCell ref="B99:E9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BBB7-7DDD-4641-BA57-AA0DDBA9318E}">
  <sheetPr>
    <tabColor rgb="FF00B050"/>
  </sheetPr>
  <dimension ref="A1:G245"/>
  <sheetViews>
    <sheetView zoomScale="86" zoomScaleNormal="85" workbookViewId="0">
      <selection activeCell="F1" sqref="F1"/>
    </sheetView>
  </sheetViews>
  <sheetFormatPr defaultColWidth="8.85546875" defaultRowHeight="15.75"/>
  <cols>
    <col min="1" max="1" width="7.42578125" style="22" customWidth="1"/>
    <col min="2" max="2" width="58.140625" style="25" customWidth="1"/>
    <col min="3" max="3" width="13.5703125" style="25" customWidth="1"/>
    <col min="4" max="4" width="15.140625" style="29" customWidth="1"/>
    <col min="5" max="5" width="14.85546875" style="22" customWidth="1"/>
    <col min="6" max="6" width="16.85546875" style="22" customWidth="1"/>
    <col min="7" max="16384" width="8.85546875" style="16"/>
  </cols>
  <sheetData>
    <row r="1" spans="1:6" s="2" customFormat="1" ht="20.45" customHeight="1">
      <c r="A1" s="65"/>
      <c r="B1" s="66"/>
      <c r="C1" s="65"/>
      <c r="D1" s="67"/>
      <c r="E1" s="68" t="s">
        <v>107</v>
      </c>
      <c r="F1" s="69"/>
    </row>
    <row r="2" spans="1:6" s="70" customFormat="1" ht="50.45" customHeight="1">
      <c r="A2" s="213" t="str">
        <f>SUM!A12</f>
        <v xml:space="preserve">ВЕДОМОСТЬ ОБЪЕМОВ РАБОТ / BILL OF QUANTITIES </v>
      </c>
      <c r="B2" s="213"/>
      <c r="C2" s="213"/>
      <c r="D2" s="213"/>
      <c r="E2" s="213"/>
      <c r="F2" s="213"/>
    </row>
    <row r="3" spans="1:6" s="36" customFormat="1" ht="58.5" customHeight="1">
      <c r="A3" s="214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14"/>
      <c r="C3" s="214"/>
      <c r="D3" s="214"/>
      <c r="E3" s="214"/>
      <c r="F3" s="214"/>
    </row>
    <row r="4" spans="1:6" s="2" customFormat="1" ht="64.349999999999994" customHeight="1">
      <c r="A4" s="71" t="s">
        <v>114</v>
      </c>
      <c r="B4" s="71" t="s">
        <v>92</v>
      </c>
      <c r="C4" s="71" t="s">
        <v>115</v>
      </c>
      <c r="D4" s="72" t="s">
        <v>116</v>
      </c>
      <c r="E4" s="87" t="s">
        <v>99</v>
      </c>
      <c r="F4" s="88" t="s">
        <v>100</v>
      </c>
    </row>
    <row r="5" spans="1:6" ht="34.5" customHeight="1">
      <c r="A5" s="89" t="s">
        <v>3</v>
      </c>
      <c r="B5" s="91" t="s">
        <v>821</v>
      </c>
      <c r="C5" s="89"/>
      <c r="D5" s="89"/>
      <c r="E5" s="89"/>
      <c r="F5" s="89"/>
    </row>
    <row r="6" spans="1:6" ht="19.5" customHeight="1">
      <c r="A6" s="89" t="s">
        <v>147</v>
      </c>
      <c r="B6" s="92" t="s">
        <v>129</v>
      </c>
      <c r="C6" s="89"/>
      <c r="D6" s="89"/>
      <c r="E6" s="89"/>
      <c r="F6" s="89"/>
    </row>
    <row r="7" spans="1:6" ht="120" customHeight="1">
      <c r="A7" s="26" t="s">
        <v>1</v>
      </c>
      <c r="B7" s="73" t="s">
        <v>368</v>
      </c>
      <c r="C7" s="31" t="s">
        <v>86</v>
      </c>
      <c r="D7" s="27">
        <f>4.253386*1000</f>
        <v>4253.3859999999995</v>
      </c>
      <c r="E7" s="18"/>
      <c r="F7" s="18">
        <f t="shared" ref="F7" si="0">ROUND(D7*E7,2)</f>
        <v>0</v>
      </c>
    </row>
    <row r="8" spans="1:6" ht="63">
      <c r="A8" s="26" t="s">
        <v>18</v>
      </c>
      <c r="B8" s="73" t="s">
        <v>369</v>
      </c>
      <c r="C8" s="31" t="s">
        <v>88</v>
      </c>
      <c r="D8" s="27">
        <f>6805.4176</f>
        <v>6805.4175999999998</v>
      </c>
      <c r="E8" s="18"/>
      <c r="F8" s="18">
        <f t="shared" ref="F8" si="1">ROUND(D8*E8,2)</f>
        <v>0</v>
      </c>
    </row>
    <row r="9" spans="1:6" ht="102.75" customHeight="1">
      <c r="A9" s="26" t="s">
        <v>19</v>
      </c>
      <c r="B9" s="73" t="s">
        <v>370</v>
      </c>
      <c r="C9" s="31" t="s">
        <v>86</v>
      </c>
      <c r="D9" s="27">
        <f>25.306617*1000</f>
        <v>25306.616999999998</v>
      </c>
      <c r="E9" s="18"/>
      <c r="F9" s="18">
        <f t="shared" ref="F9:F186" si="2">ROUND(D9*E9,2)</f>
        <v>0</v>
      </c>
    </row>
    <row r="10" spans="1:6" ht="47.25">
      <c r="A10" s="26" t="s">
        <v>20</v>
      </c>
      <c r="B10" s="73" t="s">
        <v>371</v>
      </c>
      <c r="C10" s="31" t="s">
        <v>86</v>
      </c>
      <c r="D10" s="27">
        <v>88.6</v>
      </c>
      <c r="E10" s="18"/>
      <c r="F10" s="18">
        <f t="shared" si="2"/>
        <v>0</v>
      </c>
    </row>
    <row r="11" spans="1:6">
      <c r="A11" s="26" t="s">
        <v>21</v>
      </c>
      <c r="B11" s="73" t="s">
        <v>372</v>
      </c>
      <c r="C11" s="31" t="s">
        <v>86</v>
      </c>
      <c r="D11" s="27">
        <f>4.16223*1000</f>
        <v>4162.2300000000005</v>
      </c>
      <c r="E11" s="18"/>
      <c r="F11" s="18">
        <f t="shared" si="2"/>
        <v>0</v>
      </c>
    </row>
    <row r="12" spans="1:6" ht="78.75">
      <c r="A12" s="26" t="s">
        <v>22</v>
      </c>
      <c r="B12" s="73" t="s">
        <v>373</v>
      </c>
      <c r="C12" s="31" t="s">
        <v>88</v>
      </c>
      <c r="D12" s="27">
        <v>6867.6795000000002</v>
      </c>
      <c r="E12" s="18"/>
      <c r="F12" s="18">
        <f t="shared" si="2"/>
        <v>0</v>
      </c>
    </row>
    <row r="13" spans="1:6">
      <c r="A13" s="26" t="s">
        <v>23</v>
      </c>
      <c r="B13" s="73" t="s">
        <v>374</v>
      </c>
      <c r="C13" s="31" t="s">
        <v>86</v>
      </c>
      <c r="D13" s="27">
        <v>4162.2299999999996</v>
      </c>
      <c r="E13" s="18"/>
      <c r="F13" s="18">
        <f t="shared" si="2"/>
        <v>0</v>
      </c>
    </row>
    <row r="14" spans="1:6" ht="31.5">
      <c r="A14" s="26" t="s">
        <v>24</v>
      </c>
      <c r="B14" s="73" t="s">
        <v>375</v>
      </c>
      <c r="C14" s="31" t="s">
        <v>86</v>
      </c>
      <c r="D14" s="27">
        <v>1020.47</v>
      </c>
      <c r="E14" s="18"/>
      <c r="F14" s="18">
        <f t="shared" si="2"/>
        <v>0</v>
      </c>
    </row>
    <row r="15" spans="1:6" ht="31.5">
      <c r="A15" s="26" t="s">
        <v>26</v>
      </c>
      <c r="B15" s="73" t="s">
        <v>376</v>
      </c>
      <c r="C15" s="31" t="s">
        <v>86</v>
      </c>
      <c r="D15" s="27">
        <f>31.41759*100</f>
        <v>3141.759</v>
      </c>
      <c r="E15" s="18"/>
      <c r="F15" s="18">
        <f t="shared" si="2"/>
        <v>0</v>
      </c>
    </row>
    <row r="16" spans="1:6" ht="78.75">
      <c r="A16" s="26" t="s">
        <v>28</v>
      </c>
      <c r="B16" s="73" t="s">
        <v>163</v>
      </c>
      <c r="C16" s="31" t="s">
        <v>86</v>
      </c>
      <c r="D16" s="27">
        <f>19.029948*1000</f>
        <v>19029.948</v>
      </c>
      <c r="E16" s="18"/>
      <c r="F16" s="18">
        <f t="shared" si="2"/>
        <v>0</v>
      </c>
    </row>
    <row r="17" spans="1:6" ht="47.25">
      <c r="A17" s="26" t="s">
        <v>29</v>
      </c>
      <c r="B17" s="73" t="s">
        <v>164</v>
      </c>
      <c r="C17" s="31" t="s">
        <v>86</v>
      </c>
      <c r="D17" s="27">
        <f>190.29948*100</f>
        <v>19029.948</v>
      </c>
      <c r="E17" s="18"/>
      <c r="F17" s="18">
        <f t="shared" si="2"/>
        <v>0</v>
      </c>
    </row>
    <row r="18" spans="1:6" ht="31.5">
      <c r="A18" s="26" t="s">
        <v>30</v>
      </c>
      <c r="B18" s="73" t="s">
        <v>173</v>
      </c>
      <c r="C18" s="31" t="s">
        <v>86</v>
      </c>
      <c r="D18" s="27">
        <f>21.144387*100</f>
        <v>2114.4386999999997</v>
      </c>
      <c r="E18" s="18"/>
      <c r="F18" s="18">
        <f t="shared" si="2"/>
        <v>0</v>
      </c>
    </row>
    <row r="19" spans="1:6">
      <c r="A19" s="23"/>
      <c r="B19" s="32" t="s">
        <v>17</v>
      </c>
      <c r="C19" s="19"/>
      <c r="D19" s="28"/>
      <c r="E19" s="20"/>
      <c r="F19" s="20">
        <f>SUM(F7:F18)</f>
        <v>0</v>
      </c>
    </row>
    <row r="20" spans="1:6" ht="32.450000000000003" customHeight="1">
      <c r="A20" s="89" t="s">
        <v>139</v>
      </c>
      <c r="B20" s="91" t="s">
        <v>765</v>
      </c>
      <c r="C20" s="89"/>
      <c r="D20" s="89"/>
      <c r="E20" s="89"/>
      <c r="F20" s="89"/>
    </row>
    <row r="21" spans="1:6" ht="63">
      <c r="A21" s="26" t="s">
        <v>31</v>
      </c>
      <c r="B21" s="73" t="s">
        <v>377</v>
      </c>
      <c r="C21" s="31" t="s">
        <v>89</v>
      </c>
      <c r="D21" s="27">
        <v>2</v>
      </c>
      <c r="E21" s="18"/>
      <c r="F21" s="18">
        <f t="shared" si="2"/>
        <v>0</v>
      </c>
    </row>
    <row r="22" spans="1:6" ht="31.5">
      <c r="A22" s="26" t="s">
        <v>32</v>
      </c>
      <c r="B22" s="73" t="s">
        <v>378</v>
      </c>
      <c r="C22" s="31" t="s">
        <v>89</v>
      </c>
      <c r="D22" s="27">
        <v>1</v>
      </c>
      <c r="E22" s="18"/>
      <c r="F22" s="18">
        <f t="shared" si="2"/>
        <v>0</v>
      </c>
    </row>
    <row r="23" spans="1:6" ht="31.5">
      <c r="A23" s="26" t="s">
        <v>33</v>
      </c>
      <c r="B23" s="73" t="s">
        <v>379</v>
      </c>
      <c r="C23" s="31" t="s">
        <v>89</v>
      </c>
      <c r="D23" s="27">
        <v>4</v>
      </c>
      <c r="E23" s="18"/>
      <c r="F23" s="18">
        <f t="shared" si="2"/>
        <v>0</v>
      </c>
    </row>
    <row r="24" spans="1:6" ht="31.5">
      <c r="A24" s="26" t="s">
        <v>34</v>
      </c>
      <c r="B24" s="73" t="s">
        <v>380</v>
      </c>
      <c r="C24" s="31" t="s">
        <v>89</v>
      </c>
      <c r="D24" s="27">
        <v>2</v>
      </c>
      <c r="E24" s="18"/>
      <c r="F24" s="18">
        <f t="shared" si="2"/>
        <v>0</v>
      </c>
    </row>
    <row r="25" spans="1:6" ht="31.5">
      <c r="A25" s="26" t="s">
        <v>35</v>
      </c>
      <c r="B25" s="73" t="s">
        <v>381</v>
      </c>
      <c r="C25" s="31" t="s">
        <v>89</v>
      </c>
      <c r="D25" s="27">
        <v>3</v>
      </c>
      <c r="E25" s="18"/>
      <c r="F25" s="18">
        <f>ROUND(D25*E25,2)</f>
        <v>0</v>
      </c>
    </row>
    <row r="26" spans="1:6" ht="47.25">
      <c r="A26" s="95"/>
      <c r="B26" s="96" t="s">
        <v>133</v>
      </c>
      <c r="C26" s="95"/>
      <c r="D26" s="97"/>
      <c r="E26" s="95"/>
      <c r="F26" s="95"/>
    </row>
    <row r="27" spans="1:6">
      <c r="A27" s="26" t="s">
        <v>36</v>
      </c>
      <c r="B27" s="73" t="s">
        <v>382</v>
      </c>
      <c r="C27" s="31" t="s">
        <v>89</v>
      </c>
      <c r="D27" s="27">
        <v>83</v>
      </c>
      <c r="E27" s="18"/>
      <c r="F27" s="18">
        <f t="shared" si="2"/>
        <v>0</v>
      </c>
    </row>
    <row r="28" spans="1:6">
      <c r="A28" s="26" t="s">
        <v>25</v>
      </c>
      <c r="B28" s="73" t="s">
        <v>383</v>
      </c>
      <c r="C28" s="31" t="s">
        <v>89</v>
      </c>
      <c r="D28" s="27">
        <v>3</v>
      </c>
      <c r="E28" s="18"/>
      <c r="F28" s="18">
        <f t="shared" si="2"/>
        <v>0</v>
      </c>
    </row>
    <row r="29" spans="1:6">
      <c r="A29" s="26" t="s">
        <v>37</v>
      </c>
      <c r="B29" s="73" t="s">
        <v>384</v>
      </c>
      <c r="C29" s="31" t="s">
        <v>89</v>
      </c>
      <c r="D29" s="27">
        <v>3</v>
      </c>
      <c r="E29" s="18"/>
      <c r="F29" s="18">
        <f t="shared" si="2"/>
        <v>0</v>
      </c>
    </row>
    <row r="30" spans="1:6">
      <c r="A30" s="26" t="s">
        <v>27</v>
      </c>
      <c r="B30" s="73" t="s">
        <v>385</v>
      </c>
      <c r="C30" s="31" t="s">
        <v>89</v>
      </c>
      <c r="D30" s="27">
        <v>2</v>
      </c>
      <c r="E30" s="18"/>
      <c r="F30" s="18">
        <f t="shared" si="2"/>
        <v>0</v>
      </c>
    </row>
    <row r="31" spans="1:6">
      <c r="A31" s="26" t="s">
        <v>38</v>
      </c>
      <c r="B31" s="73" t="s">
        <v>386</v>
      </c>
      <c r="C31" s="31" t="s">
        <v>89</v>
      </c>
      <c r="D31" s="27">
        <v>3</v>
      </c>
      <c r="E31" s="18"/>
      <c r="F31" s="18">
        <f t="shared" si="2"/>
        <v>0</v>
      </c>
    </row>
    <row r="32" spans="1:6">
      <c r="A32" s="26" t="s">
        <v>39</v>
      </c>
      <c r="B32" s="73" t="s">
        <v>387</v>
      </c>
      <c r="C32" s="31" t="s">
        <v>89</v>
      </c>
      <c r="D32" s="27">
        <v>2</v>
      </c>
      <c r="E32" s="18"/>
      <c r="F32" s="18">
        <f t="shared" si="2"/>
        <v>0</v>
      </c>
    </row>
    <row r="33" spans="1:6">
      <c r="A33" s="26" t="s">
        <v>40</v>
      </c>
      <c r="B33" s="73" t="s">
        <v>388</v>
      </c>
      <c r="C33" s="31" t="s">
        <v>89</v>
      </c>
      <c r="D33" s="27">
        <v>4</v>
      </c>
      <c r="E33" s="18"/>
      <c r="F33" s="18">
        <f t="shared" si="2"/>
        <v>0</v>
      </c>
    </row>
    <row r="34" spans="1:6">
      <c r="A34" s="26" t="s">
        <v>41</v>
      </c>
      <c r="B34" s="73" t="s">
        <v>389</v>
      </c>
      <c r="C34" s="31" t="s">
        <v>89</v>
      </c>
      <c r="D34" s="27">
        <v>15</v>
      </c>
      <c r="E34" s="18"/>
      <c r="F34" s="18">
        <f t="shared" si="2"/>
        <v>0</v>
      </c>
    </row>
    <row r="35" spans="1:6">
      <c r="A35" s="26" t="s">
        <v>42</v>
      </c>
      <c r="B35" s="73" t="s">
        <v>390</v>
      </c>
      <c r="C35" s="31" t="s">
        <v>89</v>
      </c>
      <c r="D35" s="27">
        <v>2</v>
      </c>
      <c r="E35" s="18"/>
      <c r="F35" s="18">
        <f t="shared" si="2"/>
        <v>0</v>
      </c>
    </row>
    <row r="36" spans="1:6">
      <c r="A36" s="26" t="s">
        <v>43</v>
      </c>
      <c r="B36" s="73" t="s">
        <v>391</v>
      </c>
      <c r="C36" s="31" t="s">
        <v>89</v>
      </c>
      <c r="D36" s="27">
        <v>2</v>
      </c>
      <c r="E36" s="18"/>
      <c r="F36" s="18">
        <f t="shared" si="2"/>
        <v>0</v>
      </c>
    </row>
    <row r="37" spans="1:6">
      <c r="A37" s="26" t="s">
        <v>44</v>
      </c>
      <c r="B37" s="73" t="s">
        <v>392</v>
      </c>
      <c r="C37" s="31" t="s">
        <v>89</v>
      </c>
      <c r="D37" s="27">
        <v>5</v>
      </c>
      <c r="E37" s="18"/>
      <c r="F37" s="18">
        <f t="shared" si="2"/>
        <v>0</v>
      </c>
    </row>
    <row r="38" spans="1:6">
      <c r="A38" s="26" t="s">
        <v>45</v>
      </c>
      <c r="B38" s="73" t="s">
        <v>393</v>
      </c>
      <c r="C38" s="31" t="s">
        <v>89</v>
      </c>
      <c r="D38" s="27">
        <v>3</v>
      </c>
      <c r="E38" s="18"/>
      <c r="F38" s="18">
        <f t="shared" si="2"/>
        <v>0</v>
      </c>
    </row>
    <row r="39" spans="1:6">
      <c r="A39" s="26" t="s">
        <v>46</v>
      </c>
      <c r="B39" s="73" t="s">
        <v>394</v>
      </c>
      <c r="C39" s="31" t="s">
        <v>89</v>
      </c>
      <c r="D39" s="27">
        <v>3</v>
      </c>
      <c r="E39" s="18"/>
      <c r="F39" s="18">
        <f t="shared" si="2"/>
        <v>0</v>
      </c>
    </row>
    <row r="40" spans="1:6">
      <c r="A40" s="26" t="s">
        <v>47</v>
      </c>
      <c r="B40" s="73" t="s">
        <v>395</v>
      </c>
      <c r="C40" s="31" t="s">
        <v>89</v>
      </c>
      <c r="D40" s="27">
        <v>1</v>
      </c>
      <c r="E40" s="18"/>
      <c r="F40" s="18">
        <f t="shared" si="2"/>
        <v>0</v>
      </c>
    </row>
    <row r="41" spans="1:6">
      <c r="A41" s="26" t="s">
        <v>48</v>
      </c>
      <c r="B41" s="73" t="s">
        <v>396</v>
      </c>
      <c r="C41" s="31" t="s">
        <v>89</v>
      </c>
      <c r="D41" s="27">
        <v>12</v>
      </c>
      <c r="E41" s="18"/>
      <c r="F41" s="18">
        <f t="shared" si="2"/>
        <v>0</v>
      </c>
    </row>
    <row r="42" spans="1:6">
      <c r="A42" s="26" t="s">
        <v>49</v>
      </c>
      <c r="B42" s="73" t="s">
        <v>397</v>
      </c>
      <c r="C42" s="31" t="s">
        <v>89</v>
      </c>
      <c r="D42" s="27">
        <v>8</v>
      </c>
      <c r="E42" s="18"/>
      <c r="F42" s="18">
        <f t="shared" si="2"/>
        <v>0</v>
      </c>
    </row>
    <row r="43" spans="1:6">
      <c r="A43" s="26" t="s">
        <v>50</v>
      </c>
      <c r="B43" s="73" t="s">
        <v>398</v>
      </c>
      <c r="C43" s="31" t="s">
        <v>89</v>
      </c>
      <c r="D43" s="27">
        <v>1</v>
      </c>
      <c r="E43" s="18"/>
      <c r="F43" s="18">
        <f t="shared" si="2"/>
        <v>0</v>
      </c>
    </row>
    <row r="44" spans="1:6">
      <c r="A44" s="26" t="s">
        <v>51</v>
      </c>
      <c r="B44" s="73" t="s">
        <v>399</v>
      </c>
      <c r="C44" s="31" t="s">
        <v>89</v>
      </c>
      <c r="D44" s="27">
        <v>90</v>
      </c>
      <c r="E44" s="18"/>
      <c r="F44" s="18">
        <f t="shared" si="2"/>
        <v>0</v>
      </c>
    </row>
    <row r="45" spans="1:6">
      <c r="A45" s="26" t="s">
        <v>52</v>
      </c>
      <c r="B45" s="73" t="s">
        <v>400</v>
      </c>
      <c r="C45" s="31" t="s">
        <v>89</v>
      </c>
      <c r="D45" s="27">
        <v>85</v>
      </c>
      <c r="E45" s="18"/>
      <c r="F45" s="18">
        <f t="shared" si="2"/>
        <v>0</v>
      </c>
    </row>
    <row r="46" spans="1:6">
      <c r="A46" s="26" t="s">
        <v>53</v>
      </c>
      <c r="B46" s="73" t="s">
        <v>401</v>
      </c>
      <c r="C46" s="31" t="s">
        <v>89</v>
      </c>
      <c r="D46" s="27">
        <v>20</v>
      </c>
      <c r="E46" s="18"/>
      <c r="F46" s="18">
        <f t="shared" si="2"/>
        <v>0</v>
      </c>
    </row>
    <row r="47" spans="1:6">
      <c r="A47" s="26" t="s">
        <v>154</v>
      </c>
      <c r="B47" s="73" t="s">
        <v>402</v>
      </c>
      <c r="C47" s="31" t="s">
        <v>89</v>
      </c>
      <c r="D47" s="27">
        <v>2</v>
      </c>
      <c r="E47" s="18"/>
      <c r="F47" s="18">
        <f t="shared" si="2"/>
        <v>0</v>
      </c>
    </row>
    <row r="48" spans="1:6">
      <c r="A48" s="26" t="s">
        <v>156</v>
      </c>
      <c r="B48" s="73" t="s">
        <v>403</v>
      </c>
      <c r="C48" s="31" t="s">
        <v>89</v>
      </c>
      <c r="D48" s="27">
        <v>3</v>
      </c>
      <c r="E48" s="18"/>
      <c r="F48" s="18">
        <f t="shared" si="2"/>
        <v>0</v>
      </c>
    </row>
    <row r="49" spans="1:6">
      <c r="A49" s="26" t="s">
        <v>194</v>
      </c>
      <c r="B49" s="73" t="s">
        <v>404</v>
      </c>
      <c r="C49" s="31" t="s">
        <v>89</v>
      </c>
      <c r="D49" s="27">
        <v>2</v>
      </c>
      <c r="E49" s="18"/>
      <c r="F49" s="18">
        <f t="shared" si="2"/>
        <v>0</v>
      </c>
    </row>
    <row r="50" spans="1:6">
      <c r="A50" s="26" t="s">
        <v>195</v>
      </c>
      <c r="B50" s="73" t="s">
        <v>405</v>
      </c>
      <c r="C50" s="31" t="s">
        <v>89</v>
      </c>
      <c r="D50" s="27">
        <v>2</v>
      </c>
      <c r="E50" s="18"/>
      <c r="F50" s="18">
        <f t="shared" si="2"/>
        <v>0</v>
      </c>
    </row>
    <row r="51" spans="1:6">
      <c r="A51" s="26" t="s">
        <v>196</v>
      </c>
      <c r="B51" s="73" t="s">
        <v>406</v>
      </c>
      <c r="C51" s="31" t="s">
        <v>89</v>
      </c>
      <c r="D51" s="27">
        <v>2</v>
      </c>
      <c r="E51" s="18"/>
      <c r="F51" s="18">
        <f t="shared" si="2"/>
        <v>0</v>
      </c>
    </row>
    <row r="52" spans="1:6">
      <c r="A52" s="26" t="s">
        <v>197</v>
      </c>
      <c r="B52" s="73" t="s">
        <v>407</v>
      </c>
      <c r="C52" s="31" t="s">
        <v>89</v>
      </c>
      <c r="D52" s="27">
        <v>1</v>
      </c>
      <c r="E52" s="18"/>
      <c r="F52" s="18">
        <f t="shared" si="2"/>
        <v>0</v>
      </c>
    </row>
    <row r="53" spans="1:6">
      <c r="A53" s="26" t="s">
        <v>198</v>
      </c>
      <c r="B53" s="73" t="s">
        <v>408</v>
      </c>
      <c r="C53" s="31" t="s">
        <v>89</v>
      </c>
      <c r="D53" s="27">
        <v>1</v>
      </c>
      <c r="E53" s="18"/>
      <c r="F53" s="18">
        <f t="shared" si="2"/>
        <v>0</v>
      </c>
    </row>
    <row r="54" spans="1:6">
      <c r="A54" s="26" t="s">
        <v>199</v>
      </c>
      <c r="B54" s="73" t="s">
        <v>409</v>
      </c>
      <c r="C54" s="31" t="s">
        <v>89</v>
      </c>
      <c r="D54" s="27">
        <v>4</v>
      </c>
      <c r="E54" s="18"/>
      <c r="F54" s="18">
        <f t="shared" si="2"/>
        <v>0</v>
      </c>
    </row>
    <row r="55" spans="1:6" ht="31.5">
      <c r="A55" s="95"/>
      <c r="B55" s="96" t="s">
        <v>308</v>
      </c>
      <c r="C55" s="95"/>
      <c r="D55" s="97"/>
      <c r="E55" s="95"/>
      <c r="F55" s="95"/>
    </row>
    <row r="56" spans="1:6">
      <c r="A56" s="26" t="s">
        <v>200</v>
      </c>
      <c r="B56" s="73" t="s">
        <v>410</v>
      </c>
      <c r="C56" s="31" t="s">
        <v>89</v>
      </c>
      <c r="D56" s="27">
        <v>68</v>
      </c>
      <c r="E56" s="18"/>
      <c r="F56" s="18">
        <f t="shared" si="2"/>
        <v>0</v>
      </c>
    </row>
    <row r="57" spans="1:6">
      <c r="A57" s="26" t="s">
        <v>202</v>
      </c>
      <c r="B57" s="73" t="s">
        <v>411</v>
      </c>
      <c r="C57" s="31" t="s">
        <v>89</v>
      </c>
      <c r="D57" s="27">
        <v>284</v>
      </c>
      <c r="E57" s="18"/>
      <c r="F57" s="18">
        <f t="shared" si="2"/>
        <v>0</v>
      </c>
    </row>
    <row r="58" spans="1:6">
      <c r="A58" s="26" t="s">
        <v>203</v>
      </c>
      <c r="B58" s="73" t="s">
        <v>412</v>
      </c>
      <c r="C58" s="31" t="s">
        <v>89</v>
      </c>
      <c r="D58" s="27">
        <v>5</v>
      </c>
      <c r="E58" s="18"/>
      <c r="F58" s="18">
        <f t="shared" si="2"/>
        <v>0</v>
      </c>
    </row>
    <row r="59" spans="1:6">
      <c r="A59" s="26" t="s">
        <v>204</v>
      </c>
      <c r="B59" s="73" t="s">
        <v>413</v>
      </c>
      <c r="C59" s="31" t="s">
        <v>89</v>
      </c>
      <c r="D59" s="27">
        <v>110</v>
      </c>
      <c r="E59" s="18"/>
      <c r="F59" s="18">
        <f t="shared" si="2"/>
        <v>0</v>
      </c>
    </row>
    <row r="60" spans="1:6">
      <c r="A60" s="26" t="s">
        <v>205</v>
      </c>
      <c r="B60" s="73" t="s">
        <v>414</v>
      </c>
      <c r="C60" s="31" t="s">
        <v>89</v>
      </c>
      <c r="D60" s="27">
        <v>7</v>
      </c>
      <c r="E60" s="18"/>
      <c r="F60" s="18">
        <f t="shared" si="2"/>
        <v>0</v>
      </c>
    </row>
    <row r="61" spans="1:6">
      <c r="A61" s="26" t="s">
        <v>206</v>
      </c>
      <c r="B61" s="73" t="s">
        <v>415</v>
      </c>
      <c r="C61" s="31" t="s">
        <v>89</v>
      </c>
      <c r="D61" s="27">
        <v>17</v>
      </c>
      <c r="E61" s="18"/>
      <c r="F61" s="18">
        <f t="shared" si="2"/>
        <v>0</v>
      </c>
    </row>
    <row r="62" spans="1:6">
      <c r="A62" s="26" t="s">
        <v>207</v>
      </c>
      <c r="B62" s="73" t="s">
        <v>416</v>
      </c>
      <c r="C62" s="31" t="s">
        <v>89</v>
      </c>
      <c r="D62" s="27">
        <v>2</v>
      </c>
      <c r="E62" s="18"/>
      <c r="F62" s="18">
        <f t="shared" si="2"/>
        <v>0</v>
      </c>
    </row>
    <row r="63" spans="1:6">
      <c r="A63" s="26" t="s">
        <v>208</v>
      </c>
      <c r="B63" s="73" t="s">
        <v>417</v>
      </c>
      <c r="C63" s="31" t="s">
        <v>89</v>
      </c>
      <c r="D63" s="27">
        <v>7</v>
      </c>
      <c r="E63" s="18"/>
      <c r="F63" s="18">
        <f t="shared" si="2"/>
        <v>0</v>
      </c>
    </row>
    <row r="64" spans="1:6">
      <c r="A64" s="26" t="s">
        <v>209</v>
      </c>
      <c r="B64" s="73" t="s">
        <v>418</v>
      </c>
      <c r="C64" s="31" t="s">
        <v>89</v>
      </c>
      <c r="D64" s="27">
        <v>1</v>
      </c>
      <c r="E64" s="18"/>
      <c r="F64" s="18">
        <f t="shared" si="2"/>
        <v>0</v>
      </c>
    </row>
    <row r="65" spans="1:6">
      <c r="A65" s="26" t="s">
        <v>210</v>
      </c>
      <c r="B65" s="73" t="s">
        <v>419</v>
      </c>
      <c r="C65" s="31" t="s">
        <v>89</v>
      </c>
      <c r="D65" s="27">
        <v>2</v>
      </c>
      <c r="E65" s="18"/>
      <c r="F65" s="18">
        <f t="shared" si="2"/>
        <v>0</v>
      </c>
    </row>
    <row r="66" spans="1:6">
      <c r="A66" s="26" t="s">
        <v>211</v>
      </c>
      <c r="B66" s="73" t="s">
        <v>420</v>
      </c>
      <c r="C66" s="31" t="s">
        <v>89</v>
      </c>
      <c r="D66" s="27">
        <v>3</v>
      </c>
      <c r="E66" s="18"/>
      <c r="F66" s="18">
        <f t="shared" si="2"/>
        <v>0</v>
      </c>
    </row>
    <row r="67" spans="1:6">
      <c r="A67" s="26" t="s">
        <v>212</v>
      </c>
      <c r="B67" s="73" t="s">
        <v>421</v>
      </c>
      <c r="C67" s="31" t="s">
        <v>89</v>
      </c>
      <c r="D67" s="27">
        <v>5</v>
      </c>
      <c r="E67" s="18"/>
      <c r="F67" s="18">
        <f t="shared" si="2"/>
        <v>0</v>
      </c>
    </row>
    <row r="68" spans="1:6">
      <c r="A68" s="26" t="s">
        <v>213</v>
      </c>
      <c r="B68" s="73" t="s">
        <v>422</v>
      </c>
      <c r="C68" s="31" t="s">
        <v>89</v>
      </c>
      <c r="D68" s="27">
        <v>7</v>
      </c>
      <c r="E68" s="18"/>
      <c r="F68" s="18">
        <f t="shared" si="2"/>
        <v>0</v>
      </c>
    </row>
    <row r="69" spans="1:6">
      <c r="A69" s="26" t="s">
        <v>214</v>
      </c>
      <c r="B69" s="73" t="s">
        <v>423</v>
      </c>
      <c r="C69" s="31" t="s">
        <v>89</v>
      </c>
      <c r="D69" s="27">
        <v>1</v>
      </c>
      <c r="E69" s="18"/>
      <c r="F69" s="18">
        <f t="shared" si="2"/>
        <v>0</v>
      </c>
    </row>
    <row r="70" spans="1:6">
      <c r="A70" s="26" t="s">
        <v>215</v>
      </c>
      <c r="B70" s="73" t="s">
        <v>424</v>
      </c>
      <c r="C70" s="31" t="s">
        <v>89</v>
      </c>
      <c r="D70" s="27">
        <v>5</v>
      </c>
      <c r="E70" s="18"/>
      <c r="F70" s="18">
        <f t="shared" si="2"/>
        <v>0</v>
      </c>
    </row>
    <row r="71" spans="1:6">
      <c r="A71" s="26" t="s">
        <v>216</v>
      </c>
      <c r="B71" s="73" t="s">
        <v>425</v>
      </c>
      <c r="C71" s="31" t="s">
        <v>89</v>
      </c>
      <c r="D71" s="27">
        <v>1</v>
      </c>
      <c r="E71" s="18"/>
      <c r="F71" s="18">
        <f t="shared" si="2"/>
        <v>0</v>
      </c>
    </row>
    <row r="72" spans="1:6">
      <c r="A72" s="26" t="s">
        <v>217</v>
      </c>
      <c r="B72" s="73" t="s">
        <v>426</v>
      </c>
      <c r="C72" s="31" t="s">
        <v>89</v>
      </c>
      <c r="D72" s="27">
        <v>10</v>
      </c>
      <c r="E72" s="18"/>
      <c r="F72" s="18">
        <f t="shared" si="2"/>
        <v>0</v>
      </c>
    </row>
    <row r="73" spans="1:6">
      <c r="A73" s="26" t="s">
        <v>218</v>
      </c>
      <c r="B73" s="73" t="s">
        <v>427</v>
      </c>
      <c r="C73" s="31" t="s">
        <v>89</v>
      </c>
      <c r="D73" s="27">
        <v>1</v>
      </c>
      <c r="E73" s="18"/>
      <c r="F73" s="18">
        <f t="shared" si="2"/>
        <v>0</v>
      </c>
    </row>
    <row r="74" spans="1:6">
      <c r="A74" s="26" t="s">
        <v>219</v>
      </c>
      <c r="B74" s="73" t="s">
        <v>428</v>
      </c>
      <c r="C74" s="31" t="s">
        <v>89</v>
      </c>
      <c r="D74" s="27">
        <v>1</v>
      </c>
      <c r="E74" s="18"/>
      <c r="F74" s="18">
        <f t="shared" si="2"/>
        <v>0</v>
      </c>
    </row>
    <row r="75" spans="1:6">
      <c r="A75" s="26" t="s">
        <v>220</v>
      </c>
      <c r="B75" s="73" t="s">
        <v>429</v>
      </c>
      <c r="C75" s="31" t="s">
        <v>89</v>
      </c>
      <c r="D75" s="27">
        <v>1</v>
      </c>
      <c r="E75" s="18"/>
      <c r="F75" s="18">
        <f t="shared" si="2"/>
        <v>0</v>
      </c>
    </row>
    <row r="76" spans="1:6" ht="31.5">
      <c r="A76" s="26" t="s">
        <v>221</v>
      </c>
      <c r="B76" s="73" t="s">
        <v>430</v>
      </c>
      <c r="C76" s="31" t="s">
        <v>89</v>
      </c>
      <c r="D76" s="27">
        <v>4</v>
      </c>
      <c r="E76" s="18"/>
      <c r="F76" s="18">
        <f t="shared" si="2"/>
        <v>0</v>
      </c>
    </row>
    <row r="77" spans="1:6" ht="25.5" customHeight="1">
      <c r="A77" s="89"/>
      <c r="B77" s="89" t="s">
        <v>834</v>
      </c>
      <c r="C77" s="89"/>
      <c r="D77" s="89"/>
      <c r="E77" s="89"/>
      <c r="F77" s="89"/>
    </row>
    <row r="78" spans="1:6" ht="31.5">
      <c r="A78" s="26" t="s">
        <v>222</v>
      </c>
      <c r="B78" s="73" t="s">
        <v>431</v>
      </c>
      <c r="C78" s="31" t="s">
        <v>87</v>
      </c>
      <c r="D78" s="27">
        <f>12312.3</f>
        <v>12312.3</v>
      </c>
      <c r="E78" s="18"/>
      <c r="F78" s="18">
        <f t="shared" si="2"/>
        <v>0</v>
      </c>
    </row>
    <row r="79" spans="1:6" ht="31.5">
      <c r="A79" s="26" t="s">
        <v>223</v>
      </c>
      <c r="B79" s="73" t="s">
        <v>432</v>
      </c>
      <c r="C79" s="31" t="s">
        <v>87</v>
      </c>
      <c r="D79" s="27">
        <v>2150.15</v>
      </c>
      <c r="E79" s="18"/>
      <c r="F79" s="18">
        <f t="shared" si="2"/>
        <v>0</v>
      </c>
    </row>
    <row r="80" spans="1:6" ht="31.5">
      <c r="A80" s="26" t="s">
        <v>224</v>
      </c>
      <c r="B80" s="73" t="s">
        <v>433</v>
      </c>
      <c r="C80" s="31" t="s">
        <v>87</v>
      </c>
      <c r="D80" s="27">
        <v>6834.33</v>
      </c>
      <c r="E80" s="18"/>
      <c r="F80" s="18">
        <f t="shared" si="2"/>
        <v>0</v>
      </c>
    </row>
    <row r="81" spans="1:6" ht="31.5">
      <c r="A81" s="26" t="s">
        <v>225</v>
      </c>
      <c r="B81" s="73" t="s">
        <v>434</v>
      </c>
      <c r="C81" s="31" t="s">
        <v>87</v>
      </c>
      <c r="D81" s="27">
        <v>4524.72</v>
      </c>
      <c r="E81" s="18"/>
      <c r="F81" s="18">
        <f t="shared" si="2"/>
        <v>0</v>
      </c>
    </row>
    <row r="82" spans="1:6" ht="31.5">
      <c r="A82" s="26" t="s">
        <v>226</v>
      </c>
      <c r="B82" s="73" t="s">
        <v>463</v>
      </c>
      <c r="C82" s="31" t="s">
        <v>87</v>
      </c>
      <c r="D82" s="27">
        <v>563.86</v>
      </c>
      <c r="E82" s="18"/>
      <c r="F82" s="18">
        <f t="shared" si="2"/>
        <v>0</v>
      </c>
    </row>
    <row r="83" spans="1:6" ht="31.5">
      <c r="A83" s="26" t="s">
        <v>227</v>
      </c>
      <c r="B83" s="73" t="s">
        <v>435</v>
      </c>
      <c r="C83" s="31" t="s">
        <v>87</v>
      </c>
      <c r="D83" s="27">
        <v>548.15</v>
      </c>
      <c r="E83" s="18"/>
      <c r="F83" s="18">
        <f t="shared" si="2"/>
        <v>0</v>
      </c>
    </row>
    <row r="84" spans="1:6" ht="31.5">
      <c r="A84" s="26" t="s">
        <v>228</v>
      </c>
      <c r="B84" s="73" t="s">
        <v>436</v>
      </c>
      <c r="C84" s="31" t="s">
        <v>87</v>
      </c>
      <c r="D84" s="27">
        <v>1340.84</v>
      </c>
      <c r="E84" s="18"/>
      <c r="F84" s="18">
        <f t="shared" si="2"/>
        <v>0</v>
      </c>
    </row>
    <row r="85" spans="1:6" ht="31.5">
      <c r="A85" s="26" t="s">
        <v>229</v>
      </c>
      <c r="B85" s="73" t="s">
        <v>437</v>
      </c>
      <c r="C85" s="31" t="s">
        <v>87</v>
      </c>
      <c r="D85" s="27">
        <f>0.4434*1000</f>
        <v>443.40000000000003</v>
      </c>
      <c r="E85" s="18"/>
      <c r="F85" s="18">
        <f t="shared" si="2"/>
        <v>0</v>
      </c>
    </row>
    <row r="86" spans="1:6" ht="31.5">
      <c r="A86" s="26" t="s">
        <v>230</v>
      </c>
      <c r="B86" s="73" t="s">
        <v>438</v>
      </c>
      <c r="C86" s="31" t="s">
        <v>87</v>
      </c>
      <c r="D86" s="27">
        <v>1304.1030000000001</v>
      </c>
      <c r="E86" s="18"/>
      <c r="F86" s="18">
        <f t="shared" si="2"/>
        <v>0</v>
      </c>
    </row>
    <row r="87" spans="1:6" ht="31.5">
      <c r="A87" s="26" t="s">
        <v>231</v>
      </c>
      <c r="B87" s="73" t="s">
        <v>439</v>
      </c>
      <c r="C87" s="31" t="s">
        <v>87</v>
      </c>
      <c r="D87" s="27">
        <v>531.23</v>
      </c>
      <c r="E87" s="18"/>
      <c r="F87" s="18">
        <f t="shared" si="2"/>
        <v>0</v>
      </c>
    </row>
    <row r="88" spans="1:6">
      <c r="A88" s="23"/>
      <c r="B88" s="32" t="s">
        <v>17</v>
      </c>
      <c r="C88" s="19"/>
      <c r="D88" s="28"/>
      <c r="E88" s="20"/>
      <c r="F88" s="20">
        <f>SUM(F21:F87)</f>
        <v>0</v>
      </c>
    </row>
    <row r="89" spans="1:6" ht="34.5" customHeight="1">
      <c r="A89" s="89" t="s">
        <v>93</v>
      </c>
      <c r="B89" s="91" t="s">
        <v>307</v>
      </c>
      <c r="C89" s="89"/>
      <c r="D89" s="89"/>
      <c r="E89" s="89"/>
      <c r="F89" s="89"/>
    </row>
    <row r="90" spans="1:6" ht="63">
      <c r="A90" s="26" t="s">
        <v>54</v>
      </c>
      <c r="B90" s="73" t="s">
        <v>440</v>
      </c>
      <c r="C90" s="31" t="s">
        <v>89</v>
      </c>
      <c r="D90" s="27">
        <v>1</v>
      </c>
      <c r="E90" s="18"/>
      <c r="F90" s="18">
        <f>D90*E90</f>
        <v>0</v>
      </c>
    </row>
    <row r="91" spans="1:6" ht="31.5">
      <c r="A91" s="26" t="s">
        <v>55</v>
      </c>
      <c r="B91" s="73" t="s">
        <v>441</v>
      </c>
      <c r="C91" s="31" t="s">
        <v>89</v>
      </c>
      <c r="D91" s="27">
        <v>2</v>
      </c>
      <c r="E91" s="18"/>
      <c r="F91" s="18">
        <f t="shared" ref="F91" si="3">ROUND(D91*E91,2)</f>
        <v>0</v>
      </c>
    </row>
    <row r="92" spans="1:6" ht="31.5">
      <c r="A92" s="95"/>
      <c r="B92" s="96" t="s">
        <v>308</v>
      </c>
      <c r="C92" s="95"/>
      <c r="D92" s="97"/>
      <c r="E92" s="95"/>
      <c r="F92" s="95"/>
    </row>
    <row r="93" spans="1:6">
      <c r="A93" s="26" t="s">
        <v>56</v>
      </c>
      <c r="B93" s="73" t="s">
        <v>442</v>
      </c>
      <c r="C93" s="31" t="s">
        <v>89</v>
      </c>
      <c r="D93" s="27">
        <v>11</v>
      </c>
      <c r="E93" s="18"/>
      <c r="F93" s="18">
        <f t="shared" si="2"/>
        <v>0</v>
      </c>
    </row>
    <row r="94" spans="1:6">
      <c r="A94" s="26" t="s">
        <v>57</v>
      </c>
      <c r="B94" s="73" t="s">
        <v>443</v>
      </c>
      <c r="C94" s="31" t="s">
        <v>89</v>
      </c>
      <c r="D94" s="27">
        <v>4</v>
      </c>
      <c r="E94" s="18"/>
      <c r="F94" s="18">
        <f t="shared" si="2"/>
        <v>0</v>
      </c>
    </row>
    <row r="95" spans="1:6">
      <c r="A95" s="26" t="s">
        <v>58</v>
      </c>
      <c r="B95" s="73" t="s">
        <v>444</v>
      </c>
      <c r="C95" s="31" t="s">
        <v>89</v>
      </c>
      <c r="D95" s="27">
        <v>64</v>
      </c>
      <c r="E95" s="18"/>
      <c r="F95" s="18">
        <f t="shared" si="2"/>
        <v>0</v>
      </c>
    </row>
    <row r="96" spans="1:6">
      <c r="A96" s="26" t="s">
        <v>59</v>
      </c>
      <c r="B96" s="73" t="s">
        <v>445</v>
      </c>
      <c r="C96" s="31" t="s">
        <v>89</v>
      </c>
      <c r="D96" s="27">
        <v>4</v>
      </c>
      <c r="E96" s="18"/>
      <c r="F96" s="18">
        <f t="shared" si="2"/>
        <v>0</v>
      </c>
    </row>
    <row r="97" spans="1:6">
      <c r="A97" s="26" t="s">
        <v>60</v>
      </c>
      <c r="B97" s="73" t="s">
        <v>446</v>
      </c>
      <c r="C97" s="31" t="s">
        <v>89</v>
      </c>
      <c r="D97" s="27">
        <v>1</v>
      </c>
      <c r="E97" s="18"/>
      <c r="F97" s="18">
        <f t="shared" si="2"/>
        <v>0</v>
      </c>
    </row>
    <row r="98" spans="1:6">
      <c r="A98" s="26" t="s">
        <v>61</v>
      </c>
      <c r="B98" s="73" t="s">
        <v>447</v>
      </c>
      <c r="C98" s="31" t="s">
        <v>89</v>
      </c>
      <c r="D98" s="27">
        <v>1</v>
      </c>
      <c r="E98" s="18"/>
      <c r="F98" s="18">
        <f t="shared" si="2"/>
        <v>0</v>
      </c>
    </row>
    <row r="99" spans="1:6">
      <c r="A99" s="26" t="s">
        <v>62</v>
      </c>
      <c r="B99" s="73" t="s">
        <v>448</v>
      </c>
      <c r="C99" s="31" t="s">
        <v>89</v>
      </c>
      <c r="D99" s="27">
        <v>1</v>
      </c>
      <c r="E99" s="18"/>
      <c r="F99" s="18">
        <f t="shared" si="2"/>
        <v>0</v>
      </c>
    </row>
    <row r="100" spans="1:6">
      <c r="A100" s="26" t="s">
        <v>232</v>
      </c>
      <c r="B100" s="73" t="s">
        <v>449</v>
      </c>
      <c r="C100" s="31" t="s">
        <v>89</v>
      </c>
      <c r="D100" s="27">
        <v>2</v>
      </c>
      <c r="E100" s="18"/>
      <c r="F100" s="18">
        <f t="shared" si="2"/>
        <v>0</v>
      </c>
    </row>
    <row r="101" spans="1:6">
      <c r="A101" s="26" t="s">
        <v>233</v>
      </c>
      <c r="B101" s="73" t="s">
        <v>450</v>
      </c>
      <c r="C101" s="31" t="s">
        <v>89</v>
      </c>
      <c r="D101" s="27">
        <v>3</v>
      </c>
      <c r="E101" s="18"/>
      <c r="F101" s="18">
        <f t="shared" si="2"/>
        <v>0</v>
      </c>
    </row>
    <row r="102" spans="1:6">
      <c r="A102" s="26" t="s">
        <v>234</v>
      </c>
      <c r="B102" s="73" t="s">
        <v>451</v>
      </c>
      <c r="C102" s="31" t="s">
        <v>89</v>
      </c>
      <c r="D102" s="27">
        <v>2</v>
      </c>
      <c r="E102" s="18"/>
      <c r="F102" s="18">
        <f t="shared" si="2"/>
        <v>0</v>
      </c>
    </row>
    <row r="103" spans="1:6">
      <c r="A103" s="26" t="s">
        <v>235</v>
      </c>
      <c r="B103" s="73" t="s">
        <v>452</v>
      </c>
      <c r="C103" s="31" t="s">
        <v>89</v>
      </c>
      <c r="D103" s="27">
        <v>1</v>
      </c>
      <c r="E103" s="18"/>
      <c r="F103" s="18">
        <f t="shared" si="2"/>
        <v>0</v>
      </c>
    </row>
    <row r="104" spans="1:6">
      <c r="A104" s="26" t="s">
        <v>236</v>
      </c>
      <c r="B104" s="73" t="s">
        <v>453</v>
      </c>
      <c r="C104" s="31" t="s">
        <v>89</v>
      </c>
      <c r="D104" s="27">
        <v>1</v>
      </c>
      <c r="E104" s="18"/>
      <c r="F104" s="18">
        <f t="shared" si="2"/>
        <v>0</v>
      </c>
    </row>
    <row r="105" spans="1:6" ht="47.25">
      <c r="A105" s="95"/>
      <c r="B105" s="96" t="s">
        <v>133</v>
      </c>
      <c r="C105" s="95"/>
      <c r="D105" s="97"/>
      <c r="E105" s="95"/>
      <c r="F105" s="95"/>
    </row>
    <row r="106" spans="1:6">
      <c r="A106" s="26" t="s">
        <v>237</v>
      </c>
      <c r="B106" s="73" t="s">
        <v>382</v>
      </c>
      <c r="C106" s="31" t="s">
        <v>89</v>
      </c>
      <c r="D106" s="27">
        <v>24</v>
      </c>
      <c r="E106" s="18"/>
      <c r="F106" s="18">
        <f t="shared" si="2"/>
        <v>0</v>
      </c>
    </row>
    <row r="107" spans="1:6">
      <c r="A107" s="26" t="s">
        <v>238</v>
      </c>
      <c r="B107" s="73" t="s">
        <v>455</v>
      </c>
      <c r="C107" s="31" t="s">
        <v>89</v>
      </c>
      <c r="D107" s="27">
        <v>1</v>
      </c>
      <c r="E107" s="18"/>
      <c r="F107" s="18">
        <f t="shared" si="2"/>
        <v>0</v>
      </c>
    </row>
    <row r="108" spans="1:6">
      <c r="A108" s="26" t="s">
        <v>239</v>
      </c>
      <c r="B108" s="73" t="s">
        <v>456</v>
      </c>
      <c r="C108" s="31" t="s">
        <v>89</v>
      </c>
      <c r="D108" s="27">
        <v>10</v>
      </c>
      <c r="E108" s="18"/>
      <c r="F108" s="18">
        <f t="shared" si="2"/>
        <v>0</v>
      </c>
    </row>
    <row r="109" spans="1:6">
      <c r="A109" s="26" t="s">
        <v>240</v>
      </c>
      <c r="B109" s="73" t="s">
        <v>457</v>
      </c>
      <c r="C109" s="31" t="s">
        <v>89</v>
      </c>
      <c r="D109" s="27">
        <v>12</v>
      </c>
      <c r="E109" s="18"/>
      <c r="F109" s="18">
        <f t="shared" si="2"/>
        <v>0</v>
      </c>
    </row>
    <row r="110" spans="1:6">
      <c r="A110" s="26" t="s">
        <v>241</v>
      </c>
      <c r="B110" s="73" t="s">
        <v>458</v>
      </c>
      <c r="C110" s="31" t="s">
        <v>89</v>
      </c>
      <c r="D110" s="27">
        <v>2</v>
      </c>
      <c r="E110" s="18"/>
      <c r="F110" s="18">
        <f t="shared" si="2"/>
        <v>0</v>
      </c>
    </row>
    <row r="111" spans="1:6">
      <c r="A111" s="26" t="s">
        <v>242</v>
      </c>
      <c r="B111" s="73" t="s">
        <v>459</v>
      </c>
      <c r="C111" s="31" t="s">
        <v>89</v>
      </c>
      <c r="D111" s="27">
        <v>1</v>
      </c>
      <c r="E111" s="18"/>
      <c r="F111" s="18">
        <f t="shared" si="2"/>
        <v>0</v>
      </c>
    </row>
    <row r="112" spans="1:6">
      <c r="A112" s="26" t="s">
        <v>243</v>
      </c>
      <c r="B112" s="73" t="s">
        <v>460</v>
      </c>
      <c r="C112" s="31" t="s">
        <v>89</v>
      </c>
      <c r="D112" s="27">
        <v>1</v>
      </c>
      <c r="E112" s="18"/>
      <c r="F112" s="18">
        <f t="shared" si="2"/>
        <v>0</v>
      </c>
    </row>
    <row r="113" spans="1:6" ht="31.5">
      <c r="A113" s="26" t="s">
        <v>244</v>
      </c>
      <c r="B113" s="73" t="s">
        <v>454</v>
      </c>
      <c r="C113" s="31" t="s">
        <v>89</v>
      </c>
      <c r="D113" s="27">
        <v>1</v>
      </c>
      <c r="E113" s="18"/>
      <c r="F113" s="18">
        <f t="shared" si="2"/>
        <v>0</v>
      </c>
    </row>
    <row r="114" spans="1:6">
      <c r="A114" s="26" t="s">
        <v>245</v>
      </c>
      <c r="B114" s="73" t="s">
        <v>461</v>
      </c>
      <c r="C114" s="31" t="s">
        <v>89</v>
      </c>
      <c r="D114" s="27">
        <v>1</v>
      </c>
      <c r="E114" s="18"/>
      <c r="F114" s="18">
        <f t="shared" si="2"/>
        <v>0</v>
      </c>
    </row>
    <row r="115" spans="1:6" ht="25.5" customHeight="1">
      <c r="A115" s="89"/>
      <c r="B115" s="91" t="s">
        <v>462</v>
      </c>
      <c r="C115" s="89"/>
      <c r="D115" s="89"/>
      <c r="E115" s="89"/>
      <c r="F115" s="89"/>
    </row>
    <row r="116" spans="1:6" ht="31.5">
      <c r="A116" s="26" t="s">
        <v>246</v>
      </c>
      <c r="B116" s="73" t="s">
        <v>431</v>
      </c>
      <c r="C116" s="31" t="s">
        <v>87</v>
      </c>
      <c r="D116" s="27">
        <v>1936.94</v>
      </c>
      <c r="E116" s="18"/>
      <c r="F116" s="18">
        <f t="shared" si="2"/>
        <v>0</v>
      </c>
    </row>
    <row r="117" spans="1:6" ht="31.5">
      <c r="A117" s="26" t="s">
        <v>247</v>
      </c>
      <c r="B117" s="73" t="s">
        <v>432</v>
      </c>
      <c r="C117" s="31" t="s">
        <v>87</v>
      </c>
      <c r="D117" s="27">
        <v>295.29500000000002</v>
      </c>
      <c r="E117" s="18"/>
      <c r="F117" s="18">
        <f t="shared" si="2"/>
        <v>0</v>
      </c>
    </row>
    <row r="118" spans="1:6" ht="31.5">
      <c r="A118" s="26" t="s">
        <v>248</v>
      </c>
      <c r="B118" s="73" t="s">
        <v>433</v>
      </c>
      <c r="C118" s="31" t="s">
        <v>87</v>
      </c>
      <c r="D118" s="27">
        <v>823.32249999999999</v>
      </c>
      <c r="E118" s="18"/>
      <c r="F118" s="18">
        <f t="shared" si="2"/>
        <v>0</v>
      </c>
    </row>
    <row r="119" spans="1:6" ht="31.5">
      <c r="A119" s="26" t="s">
        <v>249</v>
      </c>
      <c r="B119" s="73" t="s">
        <v>434</v>
      </c>
      <c r="C119" s="31" t="s">
        <v>87</v>
      </c>
      <c r="D119" s="27">
        <v>87.087000000000003</v>
      </c>
      <c r="E119" s="18"/>
      <c r="F119" s="18">
        <f t="shared" si="2"/>
        <v>0</v>
      </c>
    </row>
    <row r="120" spans="1:6" ht="31.5">
      <c r="A120" s="26" t="s">
        <v>250</v>
      </c>
      <c r="B120" s="73" t="s">
        <v>463</v>
      </c>
      <c r="C120" s="31" t="s">
        <v>87</v>
      </c>
      <c r="D120" s="27">
        <v>382.08199999999999</v>
      </c>
      <c r="E120" s="18"/>
      <c r="F120" s="18">
        <f t="shared" si="2"/>
        <v>0</v>
      </c>
    </row>
    <row r="121" spans="1:6" ht="31.5">
      <c r="A121" s="26" t="s">
        <v>251</v>
      </c>
      <c r="B121" s="73" t="s">
        <v>435</v>
      </c>
      <c r="C121" s="31" t="s">
        <v>87</v>
      </c>
      <c r="D121" s="27">
        <v>375.375</v>
      </c>
      <c r="E121" s="18"/>
      <c r="F121" s="18">
        <f t="shared" si="2"/>
        <v>0</v>
      </c>
    </row>
    <row r="122" spans="1:6" ht="31.5">
      <c r="A122" s="26" t="s">
        <v>252</v>
      </c>
      <c r="B122" s="73" t="s">
        <v>436</v>
      </c>
      <c r="C122" s="31" t="s">
        <v>87</v>
      </c>
      <c r="D122" s="27">
        <v>187.7876</v>
      </c>
      <c r="E122" s="18"/>
      <c r="F122" s="18">
        <f t="shared" si="2"/>
        <v>0</v>
      </c>
    </row>
    <row r="123" spans="1:6" ht="31.5">
      <c r="A123" s="26" t="s">
        <v>253</v>
      </c>
      <c r="B123" s="73" t="s">
        <v>437</v>
      </c>
      <c r="C123" s="31" t="s">
        <v>87</v>
      </c>
      <c r="D123" s="27">
        <v>291.291</v>
      </c>
      <c r="E123" s="18"/>
      <c r="F123" s="18">
        <f t="shared" si="2"/>
        <v>0</v>
      </c>
    </row>
    <row r="124" spans="1:6">
      <c r="A124" s="23"/>
      <c r="B124" s="32" t="s">
        <v>17</v>
      </c>
      <c r="C124" s="19"/>
      <c r="D124" s="28"/>
      <c r="E124" s="20"/>
      <c r="F124" s="20">
        <f>SUM(F90:F123)</f>
        <v>0</v>
      </c>
    </row>
    <row r="125" spans="1:6" ht="25.5" customHeight="1">
      <c r="A125" s="89" t="s">
        <v>141</v>
      </c>
      <c r="B125" s="91" t="s">
        <v>309</v>
      </c>
      <c r="C125" s="89"/>
      <c r="D125" s="89"/>
      <c r="E125" s="89"/>
      <c r="F125" s="89"/>
    </row>
    <row r="126" spans="1:6" ht="63">
      <c r="A126" s="26" t="s">
        <v>63</v>
      </c>
      <c r="B126" s="73" t="s">
        <v>464</v>
      </c>
      <c r="C126" s="31" t="s">
        <v>87</v>
      </c>
      <c r="D126" s="27">
        <v>31.626000000000001</v>
      </c>
      <c r="E126" s="18"/>
      <c r="F126" s="18">
        <f t="shared" si="2"/>
        <v>0</v>
      </c>
    </row>
    <row r="127" spans="1:6" ht="63">
      <c r="A127" s="26" t="s">
        <v>64</v>
      </c>
      <c r="B127" s="73" t="s">
        <v>465</v>
      </c>
      <c r="C127" s="31" t="s">
        <v>87</v>
      </c>
      <c r="D127" s="27">
        <v>18.574000000000002</v>
      </c>
      <c r="E127" s="18"/>
      <c r="F127" s="18">
        <f t="shared" si="2"/>
        <v>0</v>
      </c>
    </row>
    <row r="128" spans="1:6" ht="31.5">
      <c r="A128" s="26" t="s">
        <v>65</v>
      </c>
      <c r="B128" s="73" t="s">
        <v>466</v>
      </c>
      <c r="C128" s="31" t="s">
        <v>91</v>
      </c>
      <c r="D128" s="27">
        <v>21</v>
      </c>
      <c r="E128" s="18"/>
      <c r="F128" s="18">
        <f t="shared" si="2"/>
        <v>0</v>
      </c>
    </row>
    <row r="129" spans="1:7">
      <c r="A129" s="26" t="s">
        <v>66</v>
      </c>
      <c r="B129" s="73" t="s">
        <v>467</v>
      </c>
      <c r="C129" s="31" t="s">
        <v>89</v>
      </c>
      <c r="D129" s="27">
        <v>21</v>
      </c>
      <c r="E129" s="18"/>
      <c r="F129" s="18">
        <f t="shared" si="2"/>
        <v>0</v>
      </c>
    </row>
    <row r="130" spans="1:7">
      <c r="A130" s="26" t="s">
        <v>67</v>
      </c>
      <c r="B130" s="73" t="s">
        <v>468</v>
      </c>
      <c r="C130" s="31" t="s">
        <v>89</v>
      </c>
      <c r="D130" s="27">
        <v>12</v>
      </c>
      <c r="E130" s="18"/>
      <c r="F130" s="18">
        <f t="shared" si="2"/>
        <v>0</v>
      </c>
    </row>
    <row r="131" spans="1:7">
      <c r="A131" s="23"/>
      <c r="B131" s="32" t="s">
        <v>17</v>
      </c>
      <c r="C131" s="19"/>
      <c r="D131" s="28"/>
      <c r="E131" s="20"/>
      <c r="F131" s="20">
        <f>SUM(F126:F130)</f>
        <v>0</v>
      </c>
      <c r="G131" s="196"/>
    </row>
    <row r="132" spans="1:7" ht="35.25" customHeight="1">
      <c r="A132" s="89" t="s">
        <v>148</v>
      </c>
      <c r="B132" s="91" t="s">
        <v>306</v>
      </c>
      <c r="C132" s="89"/>
      <c r="D132" s="89"/>
      <c r="E132" s="89"/>
      <c r="F132" s="89"/>
    </row>
    <row r="133" spans="1:7" ht="31.5">
      <c r="A133" s="26" t="s">
        <v>68</v>
      </c>
      <c r="B133" s="73" t="s">
        <v>470</v>
      </c>
      <c r="C133" s="31" t="s">
        <v>87</v>
      </c>
      <c r="D133" s="27">
        <f>1.347*1000</f>
        <v>1347</v>
      </c>
      <c r="E133" s="18"/>
      <c r="F133" s="18">
        <f t="shared" si="2"/>
        <v>0</v>
      </c>
    </row>
    <row r="134" spans="1:7" ht="34.5" customHeight="1">
      <c r="A134" s="26" t="s">
        <v>72</v>
      </c>
      <c r="B134" s="73" t="s">
        <v>471</v>
      </c>
      <c r="C134" s="31" t="s">
        <v>87</v>
      </c>
      <c r="D134" s="27">
        <v>1372</v>
      </c>
      <c r="E134" s="18"/>
      <c r="F134" s="18">
        <f t="shared" ref="F134" si="4">ROUND(D134*E134,2)</f>
        <v>0</v>
      </c>
    </row>
    <row r="135" spans="1:7" ht="82.5" customHeight="1">
      <c r="A135" s="26" t="s">
        <v>73</v>
      </c>
      <c r="B135" s="73" t="s">
        <v>469</v>
      </c>
      <c r="C135" s="31" t="s">
        <v>87</v>
      </c>
      <c r="D135" s="27">
        <v>1305</v>
      </c>
      <c r="E135" s="18"/>
      <c r="F135" s="18">
        <f t="shared" si="2"/>
        <v>0</v>
      </c>
    </row>
    <row r="136" spans="1:7" ht="47.25">
      <c r="A136" s="26" t="s">
        <v>71</v>
      </c>
      <c r="B136" s="73" t="s">
        <v>472</v>
      </c>
      <c r="C136" s="31" t="s">
        <v>87</v>
      </c>
      <c r="D136" s="27">
        <v>1305</v>
      </c>
      <c r="E136" s="18"/>
      <c r="F136" s="18">
        <f t="shared" si="2"/>
        <v>0</v>
      </c>
    </row>
    <row r="137" spans="1:7" ht="31.5">
      <c r="A137" s="26" t="s">
        <v>74</v>
      </c>
      <c r="B137" s="73" t="s">
        <v>473</v>
      </c>
      <c r="C137" s="31" t="s">
        <v>89</v>
      </c>
      <c r="D137" s="27">
        <v>1</v>
      </c>
      <c r="E137" s="18"/>
      <c r="F137" s="18">
        <f t="shared" si="2"/>
        <v>0</v>
      </c>
    </row>
    <row r="138" spans="1:7" ht="31.5">
      <c r="A138" s="26" t="s">
        <v>74</v>
      </c>
      <c r="B138" s="73" t="s">
        <v>835</v>
      </c>
      <c r="C138" s="31" t="s">
        <v>89</v>
      </c>
      <c r="D138" s="27">
        <v>1</v>
      </c>
      <c r="E138" s="18"/>
      <c r="F138" s="18">
        <f t="shared" ref="F138" si="5">ROUND(D138*E138,2)</f>
        <v>0</v>
      </c>
    </row>
    <row r="139" spans="1:7" ht="31.5">
      <c r="A139" s="26" t="s">
        <v>191</v>
      </c>
      <c r="B139" s="73" t="s">
        <v>474</v>
      </c>
      <c r="C139" s="31" t="s">
        <v>89</v>
      </c>
      <c r="D139" s="27">
        <v>2</v>
      </c>
      <c r="E139" s="18"/>
      <c r="F139" s="18">
        <f t="shared" si="2"/>
        <v>0</v>
      </c>
    </row>
    <row r="140" spans="1:7" ht="31.5">
      <c r="A140" s="26" t="s">
        <v>254</v>
      </c>
      <c r="B140" s="73" t="s">
        <v>441</v>
      </c>
      <c r="C140" s="31" t="s">
        <v>89</v>
      </c>
      <c r="D140" s="27">
        <v>2</v>
      </c>
      <c r="E140" s="18"/>
      <c r="F140" s="18">
        <f t="shared" si="2"/>
        <v>0</v>
      </c>
    </row>
    <row r="141" spans="1:7" ht="31.5">
      <c r="A141" s="26" t="s">
        <v>255</v>
      </c>
      <c r="B141" s="73" t="s">
        <v>475</v>
      </c>
      <c r="C141" s="31" t="s">
        <v>89</v>
      </c>
      <c r="D141" s="27">
        <v>1</v>
      </c>
      <c r="E141" s="18"/>
      <c r="F141" s="18">
        <f t="shared" si="2"/>
        <v>0</v>
      </c>
    </row>
    <row r="142" spans="1:7" ht="50.25" customHeight="1">
      <c r="A142" s="95"/>
      <c r="B142" s="96" t="s">
        <v>133</v>
      </c>
      <c r="C142" s="95"/>
      <c r="D142" s="97"/>
      <c r="E142" s="95"/>
      <c r="F142" s="95"/>
    </row>
    <row r="143" spans="1:7">
      <c r="A143" s="26" t="s">
        <v>256</v>
      </c>
      <c r="B143" s="73" t="s">
        <v>476</v>
      </c>
      <c r="C143" s="31" t="s">
        <v>89</v>
      </c>
      <c r="D143" s="27">
        <v>1</v>
      </c>
      <c r="E143" s="18"/>
      <c r="F143" s="18">
        <f t="shared" si="2"/>
        <v>0</v>
      </c>
    </row>
    <row r="144" spans="1:7" ht="31.5">
      <c r="A144" s="26" t="s">
        <v>257</v>
      </c>
      <c r="B144" s="73" t="s">
        <v>477</v>
      </c>
      <c r="C144" s="31" t="s">
        <v>89</v>
      </c>
      <c r="D144" s="27">
        <v>2</v>
      </c>
      <c r="E144" s="18"/>
      <c r="F144" s="18">
        <f t="shared" si="2"/>
        <v>0</v>
      </c>
    </row>
    <row r="145" spans="1:6" ht="31.5">
      <c r="A145" s="26" t="s">
        <v>258</v>
      </c>
      <c r="B145" s="73" t="s">
        <v>478</v>
      </c>
      <c r="C145" s="31" t="s">
        <v>89</v>
      </c>
      <c r="D145" s="27">
        <v>1</v>
      </c>
      <c r="E145" s="18"/>
      <c r="F145" s="18">
        <f t="shared" si="2"/>
        <v>0</v>
      </c>
    </row>
    <row r="146" spans="1:6" ht="31.5">
      <c r="A146" s="26" t="s">
        <v>259</v>
      </c>
      <c r="B146" s="73" t="s">
        <v>479</v>
      </c>
      <c r="C146" s="31" t="s">
        <v>89</v>
      </c>
      <c r="D146" s="27">
        <v>1</v>
      </c>
      <c r="E146" s="18"/>
      <c r="F146" s="18">
        <f t="shared" si="2"/>
        <v>0</v>
      </c>
    </row>
    <row r="147" spans="1:6" ht="31.5">
      <c r="A147" s="26" t="s">
        <v>260</v>
      </c>
      <c r="B147" s="73" t="s">
        <v>480</v>
      </c>
      <c r="C147" s="31" t="s">
        <v>89</v>
      </c>
      <c r="D147" s="27">
        <v>1</v>
      </c>
      <c r="E147" s="18"/>
      <c r="F147" s="18">
        <f t="shared" si="2"/>
        <v>0</v>
      </c>
    </row>
    <row r="148" spans="1:6">
      <c r="A148" s="26" t="s">
        <v>261</v>
      </c>
      <c r="B148" s="73" t="s">
        <v>481</v>
      </c>
      <c r="C148" s="31" t="s">
        <v>89</v>
      </c>
      <c r="D148" s="27">
        <v>2</v>
      </c>
      <c r="E148" s="18"/>
      <c r="F148" s="18">
        <f t="shared" si="2"/>
        <v>0</v>
      </c>
    </row>
    <row r="149" spans="1:6">
      <c r="A149" s="26" t="s">
        <v>262</v>
      </c>
      <c r="B149" s="73" t="s">
        <v>482</v>
      </c>
      <c r="C149" s="31" t="s">
        <v>89</v>
      </c>
      <c r="D149" s="27">
        <v>5</v>
      </c>
      <c r="E149" s="18"/>
      <c r="F149" s="18">
        <f t="shared" si="2"/>
        <v>0</v>
      </c>
    </row>
    <row r="150" spans="1:6">
      <c r="A150" s="26" t="s">
        <v>263</v>
      </c>
      <c r="B150" s="73" t="s">
        <v>483</v>
      </c>
      <c r="C150" s="31" t="s">
        <v>89</v>
      </c>
      <c r="D150" s="27">
        <v>2</v>
      </c>
      <c r="E150" s="18"/>
      <c r="F150" s="18">
        <f t="shared" si="2"/>
        <v>0</v>
      </c>
    </row>
    <row r="151" spans="1:6">
      <c r="A151" s="26" t="s">
        <v>264</v>
      </c>
      <c r="B151" s="73" t="s">
        <v>484</v>
      </c>
      <c r="C151" s="31" t="s">
        <v>89</v>
      </c>
      <c r="D151" s="27">
        <v>2</v>
      </c>
      <c r="E151" s="18"/>
      <c r="F151" s="18">
        <f t="shared" si="2"/>
        <v>0</v>
      </c>
    </row>
    <row r="152" spans="1:6">
      <c r="A152" s="26" t="s">
        <v>265</v>
      </c>
      <c r="B152" s="73" t="s">
        <v>485</v>
      </c>
      <c r="C152" s="31" t="s">
        <v>89</v>
      </c>
      <c r="D152" s="27">
        <v>5</v>
      </c>
      <c r="E152" s="18"/>
      <c r="F152" s="18">
        <f t="shared" si="2"/>
        <v>0</v>
      </c>
    </row>
    <row r="153" spans="1:6" ht="31.5">
      <c r="A153" s="95"/>
      <c r="B153" s="96" t="s">
        <v>165</v>
      </c>
      <c r="C153" s="95"/>
      <c r="D153" s="97"/>
      <c r="E153" s="95"/>
      <c r="F153" s="95"/>
    </row>
    <row r="154" spans="1:6">
      <c r="A154" s="26" t="s">
        <v>266</v>
      </c>
      <c r="B154" s="73" t="s">
        <v>166</v>
      </c>
      <c r="C154" s="31" t="s">
        <v>89</v>
      </c>
      <c r="D154" s="27">
        <v>5</v>
      </c>
      <c r="E154" s="18"/>
      <c r="F154" s="18">
        <f t="shared" si="2"/>
        <v>0</v>
      </c>
    </row>
    <row r="155" spans="1:6">
      <c r="A155" s="26" t="s">
        <v>267</v>
      </c>
      <c r="B155" s="73" t="s">
        <v>167</v>
      </c>
      <c r="C155" s="31" t="s">
        <v>89</v>
      </c>
      <c r="D155" s="27">
        <v>1</v>
      </c>
      <c r="E155" s="18"/>
      <c r="F155" s="18">
        <f t="shared" si="2"/>
        <v>0</v>
      </c>
    </row>
    <row r="156" spans="1:6" ht="31.5">
      <c r="A156" s="26" t="s">
        <v>268</v>
      </c>
      <c r="B156" s="73" t="s">
        <v>168</v>
      </c>
      <c r="C156" s="31" t="s">
        <v>89</v>
      </c>
      <c r="D156" s="27">
        <v>2</v>
      </c>
      <c r="E156" s="18"/>
      <c r="F156" s="18">
        <f t="shared" si="2"/>
        <v>0</v>
      </c>
    </row>
    <row r="157" spans="1:6">
      <c r="A157" s="23"/>
      <c r="B157" s="32" t="s">
        <v>17</v>
      </c>
      <c r="C157" s="19"/>
      <c r="D157" s="28"/>
      <c r="E157" s="20"/>
      <c r="F157" s="20">
        <f>SUM(F133:F156)</f>
        <v>0</v>
      </c>
    </row>
    <row r="158" spans="1:6" ht="31.5">
      <c r="A158" s="89" t="s">
        <v>118</v>
      </c>
      <c r="B158" s="91" t="s">
        <v>486</v>
      </c>
      <c r="C158" s="89"/>
      <c r="D158" s="89"/>
      <c r="E158" s="89"/>
      <c r="F158" s="89"/>
    </row>
    <row r="159" spans="1:6" ht="110.25">
      <c r="A159" s="26" t="s">
        <v>75</v>
      </c>
      <c r="B159" s="73" t="s">
        <v>169</v>
      </c>
      <c r="C159" s="31" t="s">
        <v>86</v>
      </c>
      <c r="D159" s="27">
        <f>0.01722*1000</f>
        <v>17.22</v>
      </c>
      <c r="E159" s="18"/>
      <c r="F159" s="18">
        <f t="shared" si="2"/>
        <v>0</v>
      </c>
    </row>
    <row r="160" spans="1:6" ht="78.75">
      <c r="A160" s="26" t="s">
        <v>76</v>
      </c>
      <c r="B160" s="73" t="s">
        <v>170</v>
      </c>
      <c r="C160" s="31" t="s">
        <v>88</v>
      </c>
      <c r="D160" s="27">
        <v>27.552</v>
      </c>
      <c r="E160" s="18"/>
      <c r="F160" s="18">
        <f t="shared" si="2"/>
        <v>0</v>
      </c>
    </row>
    <row r="161" spans="1:6" ht="78.75">
      <c r="A161" s="26" t="s">
        <v>69</v>
      </c>
      <c r="B161" s="73" t="s">
        <v>171</v>
      </c>
      <c r="C161" s="31" t="s">
        <v>86</v>
      </c>
      <c r="D161" s="27">
        <f>0.25068*1000</f>
        <v>250.68</v>
      </c>
      <c r="E161" s="18"/>
      <c r="F161" s="18">
        <f t="shared" si="2"/>
        <v>0</v>
      </c>
    </row>
    <row r="162" spans="1:6" ht="31.5">
      <c r="A162" s="26" t="s">
        <v>77</v>
      </c>
      <c r="B162" s="73" t="s">
        <v>162</v>
      </c>
      <c r="C162" s="31" t="s">
        <v>86</v>
      </c>
      <c r="D162" s="27">
        <f>0.13395*100</f>
        <v>13.395000000000001</v>
      </c>
      <c r="E162" s="18"/>
      <c r="F162" s="18">
        <f t="shared" si="2"/>
        <v>0</v>
      </c>
    </row>
    <row r="163" spans="1:6" ht="78.75">
      <c r="A163" s="26" t="s">
        <v>78</v>
      </c>
      <c r="B163" s="73" t="s">
        <v>172</v>
      </c>
      <c r="C163" s="31" t="s">
        <v>86</v>
      </c>
      <c r="D163" s="27">
        <f>0.225612*1000</f>
        <v>225.61199999999999</v>
      </c>
      <c r="E163" s="18"/>
      <c r="F163" s="18">
        <f t="shared" si="2"/>
        <v>0</v>
      </c>
    </row>
    <row r="164" spans="1:6" ht="47.25">
      <c r="A164" s="26" t="s">
        <v>193</v>
      </c>
      <c r="B164" s="73" t="s">
        <v>164</v>
      </c>
      <c r="C164" s="31" t="s">
        <v>86</v>
      </c>
      <c r="D164" s="27">
        <f>2.25612*100</f>
        <v>225.61200000000002</v>
      </c>
      <c r="E164" s="18"/>
      <c r="F164" s="18">
        <f t="shared" si="2"/>
        <v>0</v>
      </c>
    </row>
    <row r="165" spans="1:6" ht="31.5">
      <c r="A165" s="26" t="s">
        <v>269</v>
      </c>
      <c r="B165" s="73" t="s">
        <v>173</v>
      </c>
      <c r="C165" s="31" t="s">
        <v>86</v>
      </c>
      <c r="D165" s="27">
        <f>0.25068*100</f>
        <v>25.068000000000001</v>
      </c>
      <c r="E165" s="18"/>
      <c r="F165" s="18">
        <f t="shared" si="2"/>
        <v>0</v>
      </c>
    </row>
    <row r="166" spans="1:6" ht="31.5">
      <c r="A166" s="26" t="s">
        <v>270</v>
      </c>
      <c r="B166" s="73" t="s">
        <v>174</v>
      </c>
      <c r="C166" s="31" t="s">
        <v>86</v>
      </c>
      <c r="D166" s="27">
        <v>2.153</v>
      </c>
      <c r="E166" s="18"/>
      <c r="F166" s="18">
        <f t="shared" si="2"/>
        <v>0</v>
      </c>
    </row>
    <row r="167" spans="1:6" ht="47.25">
      <c r="A167" s="26" t="s">
        <v>271</v>
      </c>
      <c r="B167" s="73" t="s">
        <v>175</v>
      </c>
      <c r="C167" s="31" t="s">
        <v>86</v>
      </c>
      <c r="D167" s="27">
        <v>1.8972</v>
      </c>
      <c r="E167" s="18"/>
      <c r="F167" s="18">
        <f t="shared" si="2"/>
        <v>0</v>
      </c>
    </row>
    <row r="168" spans="1:6" ht="47.25">
      <c r="A168" s="95"/>
      <c r="B168" s="96" t="s">
        <v>132</v>
      </c>
      <c r="C168" s="95"/>
      <c r="D168" s="97"/>
      <c r="E168" s="95"/>
      <c r="F168" s="95"/>
    </row>
    <row r="169" spans="1:6" ht="31.5">
      <c r="A169" s="26" t="s">
        <v>272</v>
      </c>
      <c r="B169" s="73" t="s">
        <v>124</v>
      </c>
      <c r="C169" s="31" t="s">
        <v>88</v>
      </c>
      <c r="D169" s="27">
        <v>7.3499999999999996E-2</v>
      </c>
      <c r="E169" s="18"/>
      <c r="F169" s="18">
        <f t="shared" si="2"/>
        <v>0</v>
      </c>
    </row>
    <row r="170" spans="1:6" ht="31.5">
      <c r="A170" s="26" t="s">
        <v>273</v>
      </c>
      <c r="B170" s="73" t="s">
        <v>123</v>
      </c>
      <c r="C170" s="31" t="s">
        <v>88</v>
      </c>
      <c r="D170" s="27">
        <v>1.278E-2</v>
      </c>
      <c r="E170" s="18"/>
      <c r="F170" s="18">
        <f t="shared" si="2"/>
        <v>0</v>
      </c>
    </row>
    <row r="171" spans="1:6" ht="31.5">
      <c r="A171" s="26" t="s">
        <v>274</v>
      </c>
      <c r="B171" s="73" t="s">
        <v>176</v>
      </c>
      <c r="C171" s="31" t="s">
        <v>86</v>
      </c>
      <c r="D171" s="27">
        <v>6.3342000000000001</v>
      </c>
      <c r="E171" s="18"/>
      <c r="F171" s="18">
        <f t="shared" si="2"/>
        <v>0</v>
      </c>
    </row>
    <row r="172" spans="1:6" ht="31.5">
      <c r="A172" s="95"/>
      <c r="B172" s="96" t="s">
        <v>177</v>
      </c>
      <c r="C172" s="95"/>
      <c r="D172" s="97"/>
      <c r="E172" s="95"/>
      <c r="F172" s="95"/>
    </row>
    <row r="173" spans="1:6" ht="31.5">
      <c r="A173" s="26" t="s">
        <v>275</v>
      </c>
      <c r="B173" s="73" t="s">
        <v>124</v>
      </c>
      <c r="C173" s="31" t="s">
        <v>88</v>
      </c>
      <c r="D173" s="27">
        <v>0.35412002531999998</v>
      </c>
      <c r="E173" s="18"/>
      <c r="F173" s="18">
        <f t="shared" si="2"/>
        <v>0</v>
      </c>
    </row>
    <row r="174" spans="1:6">
      <c r="A174" s="26" t="s">
        <v>276</v>
      </c>
      <c r="B174" s="73" t="s">
        <v>178</v>
      </c>
      <c r="C174" s="31" t="s">
        <v>88</v>
      </c>
      <c r="D174" s="27">
        <v>3.4739974680000001E-2</v>
      </c>
      <c r="E174" s="18"/>
      <c r="F174" s="18">
        <f t="shared" si="2"/>
        <v>0</v>
      </c>
    </row>
    <row r="175" spans="1:6" ht="31.5">
      <c r="A175" s="26" t="s">
        <v>277</v>
      </c>
      <c r="B175" s="73" t="s">
        <v>127</v>
      </c>
      <c r="C175" s="31" t="s">
        <v>91</v>
      </c>
      <c r="D175" s="27">
        <v>53.04</v>
      </c>
      <c r="E175" s="18"/>
      <c r="F175" s="18">
        <f t="shared" si="2"/>
        <v>0</v>
      </c>
    </row>
    <row r="176" spans="1:6" ht="47.25">
      <c r="A176" s="26" t="s">
        <v>278</v>
      </c>
      <c r="B176" s="73" t="s">
        <v>179</v>
      </c>
      <c r="C176" s="31" t="s">
        <v>91</v>
      </c>
      <c r="D176" s="27">
        <v>59.16</v>
      </c>
      <c r="E176" s="18"/>
      <c r="F176" s="18">
        <f t="shared" si="2"/>
        <v>0</v>
      </c>
    </row>
    <row r="177" spans="1:6" ht="31.5">
      <c r="A177" s="26" t="s">
        <v>279</v>
      </c>
      <c r="B177" s="73" t="s">
        <v>180</v>
      </c>
      <c r="C177" s="31" t="s">
        <v>88</v>
      </c>
      <c r="D177" s="27">
        <v>0.12623999999999999</v>
      </c>
      <c r="E177" s="18"/>
      <c r="F177" s="18">
        <f t="shared" si="2"/>
        <v>0</v>
      </c>
    </row>
    <row r="178" spans="1:6" ht="31.5">
      <c r="A178" s="26" t="s">
        <v>280</v>
      </c>
      <c r="B178" s="73" t="s">
        <v>181</v>
      </c>
      <c r="C178" s="31" t="s">
        <v>91</v>
      </c>
      <c r="D178" s="27">
        <v>2.9</v>
      </c>
      <c r="E178" s="18"/>
      <c r="F178" s="18">
        <f t="shared" si="2"/>
        <v>0</v>
      </c>
    </row>
    <row r="179" spans="1:6" ht="47.25">
      <c r="A179" s="26" t="s">
        <v>281</v>
      </c>
      <c r="B179" s="73" t="s">
        <v>182</v>
      </c>
      <c r="C179" s="31" t="s">
        <v>91</v>
      </c>
      <c r="D179" s="27">
        <v>2.9</v>
      </c>
      <c r="E179" s="18"/>
      <c r="F179" s="18">
        <f t="shared" si="2"/>
        <v>0</v>
      </c>
    </row>
    <row r="180" spans="1:6" ht="31.5">
      <c r="A180" s="26" t="s">
        <v>282</v>
      </c>
      <c r="B180" s="73" t="s">
        <v>183</v>
      </c>
      <c r="C180" s="31" t="s">
        <v>86</v>
      </c>
      <c r="D180" s="27">
        <v>2.68</v>
      </c>
      <c r="E180" s="18"/>
      <c r="F180" s="18">
        <f t="shared" si="2"/>
        <v>0</v>
      </c>
    </row>
    <row r="181" spans="1:6" ht="31.5">
      <c r="A181" s="26" t="s">
        <v>283</v>
      </c>
      <c r="B181" s="73" t="s">
        <v>124</v>
      </c>
      <c r="C181" s="31" t="s">
        <v>88</v>
      </c>
      <c r="D181" s="27">
        <v>0.50280001200000002</v>
      </c>
      <c r="E181" s="18"/>
      <c r="F181" s="18">
        <f t="shared" si="2"/>
        <v>0</v>
      </c>
    </row>
    <row r="182" spans="1:6" ht="31.5">
      <c r="A182" s="26" t="s">
        <v>284</v>
      </c>
      <c r="B182" s="73" t="s">
        <v>123</v>
      </c>
      <c r="C182" s="31" t="s">
        <v>88</v>
      </c>
      <c r="D182" s="27">
        <v>1.0440012E-2</v>
      </c>
      <c r="E182" s="18"/>
      <c r="F182" s="18">
        <f t="shared" si="2"/>
        <v>0</v>
      </c>
    </row>
    <row r="183" spans="1:6" ht="31.5">
      <c r="A183" s="26" t="s">
        <v>285</v>
      </c>
      <c r="B183" s="73" t="s">
        <v>184</v>
      </c>
      <c r="C183" s="31" t="s">
        <v>88</v>
      </c>
      <c r="D183" s="27">
        <v>3.3480000000000003E-2</v>
      </c>
      <c r="E183" s="18"/>
      <c r="F183" s="18">
        <f t="shared" si="2"/>
        <v>0</v>
      </c>
    </row>
    <row r="184" spans="1:6">
      <c r="A184" s="26" t="s">
        <v>286</v>
      </c>
      <c r="B184" s="73" t="s">
        <v>185</v>
      </c>
      <c r="C184" s="31" t="s">
        <v>89</v>
      </c>
      <c r="D184" s="27">
        <v>6</v>
      </c>
      <c r="E184" s="18"/>
      <c r="F184" s="18">
        <f t="shared" si="2"/>
        <v>0</v>
      </c>
    </row>
    <row r="185" spans="1:6">
      <c r="A185" s="95"/>
      <c r="B185" s="96" t="s">
        <v>187</v>
      </c>
      <c r="C185" s="95"/>
      <c r="D185" s="97"/>
      <c r="E185" s="95"/>
      <c r="F185" s="95"/>
    </row>
    <row r="186" spans="1:6" ht="47.25">
      <c r="A186" s="26" t="s">
        <v>287</v>
      </c>
      <c r="B186" s="73" t="s">
        <v>186</v>
      </c>
      <c r="C186" s="31" t="s">
        <v>86</v>
      </c>
      <c r="D186" s="27">
        <v>0.6885</v>
      </c>
      <c r="E186" s="18"/>
      <c r="F186" s="18">
        <f t="shared" si="2"/>
        <v>0</v>
      </c>
    </row>
    <row r="187" spans="1:6">
      <c r="A187" s="23"/>
      <c r="B187" s="32" t="s">
        <v>17</v>
      </c>
      <c r="C187" s="19"/>
      <c r="D187" s="28"/>
      <c r="E187" s="20"/>
      <c r="F187" s="20">
        <f>SUM(F159:F186)</f>
        <v>0</v>
      </c>
    </row>
    <row r="188" spans="1:6" ht="32.25" customHeight="1">
      <c r="A188" s="89" t="s">
        <v>119</v>
      </c>
      <c r="B188" s="91" t="s">
        <v>487</v>
      </c>
      <c r="C188" s="89"/>
      <c r="D188" s="89"/>
      <c r="E188" s="89"/>
      <c r="F188" s="89"/>
    </row>
    <row r="189" spans="1:6" ht="110.25">
      <c r="A189" s="26" t="s">
        <v>79</v>
      </c>
      <c r="B189" s="73" t="s">
        <v>169</v>
      </c>
      <c r="C189" s="31" t="s">
        <v>86</v>
      </c>
      <c r="D189" s="27">
        <f>0.01278*1000</f>
        <v>12.78</v>
      </c>
      <c r="E189" s="18"/>
      <c r="F189" s="18">
        <f t="shared" ref="F189:F214" si="6">ROUND(D189*E189,2)</f>
        <v>0</v>
      </c>
    </row>
    <row r="190" spans="1:6" ht="78.75">
      <c r="A190" s="26" t="s">
        <v>70</v>
      </c>
      <c r="B190" s="73" t="s">
        <v>170</v>
      </c>
      <c r="C190" s="31" t="s">
        <v>88</v>
      </c>
      <c r="D190" s="27">
        <v>20.448</v>
      </c>
      <c r="E190" s="18"/>
      <c r="F190" s="18">
        <f t="shared" si="6"/>
        <v>0</v>
      </c>
    </row>
    <row r="191" spans="1:6" ht="78.75">
      <c r="A191" s="26" t="s">
        <v>80</v>
      </c>
      <c r="B191" s="73" t="s">
        <v>171</v>
      </c>
      <c r="C191" s="31" t="s">
        <v>86</v>
      </c>
      <c r="D191" s="27">
        <f>0.11304*1000</f>
        <v>113.04</v>
      </c>
      <c r="E191" s="18"/>
      <c r="F191" s="18">
        <f t="shared" si="6"/>
        <v>0</v>
      </c>
    </row>
    <row r="192" spans="1:6" ht="31.5">
      <c r="A192" s="26" t="s">
        <v>81</v>
      </c>
      <c r="B192" s="73" t="s">
        <v>162</v>
      </c>
      <c r="C192" s="31" t="s">
        <v>86</v>
      </c>
      <c r="D192" s="27">
        <f>0.12584*100</f>
        <v>12.584000000000001</v>
      </c>
      <c r="E192" s="18"/>
      <c r="F192" s="18">
        <f t="shared" si="6"/>
        <v>0</v>
      </c>
    </row>
    <row r="193" spans="1:6" ht="78.75">
      <c r="A193" s="26" t="s">
        <v>82</v>
      </c>
      <c r="B193" s="73" t="s">
        <v>172</v>
      </c>
      <c r="C193" s="31" t="s">
        <v>86</v>
      </c>
      <c r="D193" s="27">
        <f>0.101736*1000</f>
        <v>101.73599999999999</v>
      </c>
      <c r="E193" s="18"/>
      <c r="F193" s="18">
        <f t="shared" si="6"/>
        <v>0</v>
      </c>
    </row>
    <row r="194" spans="1:6" ht="47.25">
      <c r="A194" s="26" t="s">
        <v>192</v>
      </c>
      <c r="B194" s="73" t="s">
        <v>164</v>
      </c>
      <c r="C194" s="31" t="s">
        <v>86</v>
      </c>
      <c r="D194" s="27">
        <f>1.01736*100</f>
        <v>101.736</v>
      </c>
      <c r="E194" s="18"/>
      <c r="F194" s="18">
        <f t="shared" si="6"/>
        <v>0</v>
      </c>
    </row>
    <row r="195" spans="1:6" ht="31.5">
      <c r="A195" s="26" t="s">
        <v>288</v>
      </c>
      <c r="B195" s="73" t="s">
        <v>173</v>
      </c>
      <c r="C195" s="31" t="s">
        <v>86</v>
      </c>
      <c r="D195" s="27">
        <f>0.11304*100</f>
        <v>11.304</v>
      </c>
      <c r="E195" s="18"/>
      <c r="F195" s="18">
        <f t="shared" si="6"/>
        <v>0</v>
      </c>
    </row>
    <row r="196" spans="1:6" ht="31.5">
      <c r="A196" s="26" t="s">
        <v>289</v>
      </c>
      <c r="B196" s="73" t="s">
        <v>174</v>
      </c>
      <c r="C196" s="31" t="s">
        <v>86</v>
      </c>
      <c r="D196" s="27">
        <f>0.856</f>
        <v>0.85599999999999998</v>
      </c>
      <c r="E196" s="18"/>
      <c r="F196" s="18">
        <f t="shared" si="6"/>
        <v>0</v>
      </c>
    </row>
    <row r="197" spans="1:6" ht="47.25">
      <c r="A197" s="26" t="s">
        <v>290</v>
      </c>
      <c r="B197" s="73" t="s">
        <v>175</v>
      </c>
      <c r="C197" s="31" t="s">
        <v>86</v>
      </c>
      <c r="D197" s="27">
        <f>0.0089*100</f>
        <v>0.89</v>
      </c>
      <c r="E197" s="18"/>
      <c r="F197" s="18">
        <f t="shared" si="6"/>
        <v>0</v>
      </c>
    </row>
    <row r="198" spans="1:6" ht="47.25">
      <c r="A198" s="95"/>
      <c r="B198" s="96" t="s">
        <v>132</v>
      </c>
      <c r="C198" s="95"/>
      <c r="D198" s="97"/>
      <c r="E198" s="97"/>
      <c r="F198" s="95"/>
    </row>
    <row r="199" spans="1:6" ht="31.5">
      <c r="A199" s="26" t="s">
        <v>291</v>
      </c>
      <c r="B199" s="73" t="s">
        <v>124</v>
      </c>
      <c r="C199" s="31" t="s">
        <v>88</v>
      </c>
      <c r="D199" s="27">
        <v>3.5159999999999997E-2</v>
      </c>
      <c r="E199" s="18"/>
      <c r="F199" s="18">
        <f t="shared" si="6"/>
        <v>0</v>
      </c>
    </row>
    <row r="200" spans="1:6" ht="31.5">
      <c r="A200" s="26" t="s">
        <v>292</v>
      </c>
      <c r="B200" s="73" t="s">
        <v>123</v>
      </c>
      <c r="C200" s="31" t="s">
        <v>88</v>
      </c>
      <c r="D200" s="27">
        <v>6.0400000000000002E-3</v>
      </c>
      <c r="E200" s="18"/>
      <c r="F200" s="18">
        <f t="shared" si="6"/>
        <v>0</v>
      </c>
    </row>
    <row r="201" spans="1:6" ht="45.75" customHeight="1">
      <c r="A201" s="26" t="s">
        <v>293</v>
      </c>
      <c r="B201" s="73" t="s">
        <v>176</v>
      </c>
      <c r="C201" s="31" t="s">
        <v>86</v>
      </c>
      <c r="D201" s="27">
        <v>3.0293999999999999</v>
      </c>
      <c r="E201" s="18"/>
      <c r="F201" s="18">
        <f t="shared" si="6"/>
        <v>0</v>
      </c>
    </row>
    <row r="202" spans="1:6" ht="36" customHeight="1">
      <c r="A202" s="95"/>
      <c r="B202" s="96" t="s">
        <v>177</v>
      </c>
      <c r="C202" s="95"/>
      <c r="D202" s="97"/>
      <c r="E202" s="95"/>
      <c r="F202" s="95"/>
    </row>
    <row r="203" spans="1:6" ht="31.5">
      <c r="A203" s="26" t="s">
        <v>294</v>
      </c>
      <c r="B203" s="73" t="s">
        <v>124</v>
      </c>
      <c r="C203" s="31" t="s">
        <v>88</v>
      </c>
      <c r="D203" s="27">
        <v>0.16508000766400002</v>
      </c>
      <c r="E203" s="18"/>
      <c r="F203" s="18">
        <f t="shared" si="6"/>
        <v>0</v>
      </c>
    </row>
    <row r="204" spans="1:6">
      <c r="A204" s="26" t="s">
        <v>295</v>
      </c>
      <c r="B204" s="73" t="s">
        <v>178</v>
      </c>
      <c r="C204" s="31" t="s">
        <v>88</v>
      </c>
      <c r="D204" s="27">
        <v>1.1579992336000001E-2</v>
      </c>
      <c r="E204" s="18"/>
      <c r="F204" s="18">
        <f t="shared" si="6"/>
        <v>0</v>
      </c>
    </row>
    <row r="205" spans="1:6" ht="31.5">
      <c r="A205" s="26" t="s">
        <v>296</v>
      </c>
      <c r="B205" s="73" t="s">
        <v>127</v>
      </c>
      <c r="C205" s="31" t="s">
        <v>91</v>
      </c>
      <c r="D205" s="27">
        <v>26.04</v>
      </c>
      <c r="E205" s="18"/>
      <c r="F205" s="18">
        <f t="shared" si="6"/>
        <v>0</v>
      </c>
    </row>
    <row r="206" spans="1:6" ht="47.25">
      <c r="A206" s="26" t="s">
        <v>297</v>
      </c>
      <c r="B206" s="73" t="s">
        <v>179</v>
      </c>
      <c r="C206" s="31" t="s">
        <v>91</v>
      </c>
      <c r="D206" s="27">
        <v>26.7</v>
      </c>
      <c r="E206" s="18"/>
      <c r="F206" s="18">
        <f t="shared" si="6"/>
        <v>0</v>
      </c>
    </row>
    <row r="207" spans="1:6" ht="31.5">
      <c r="A207" s="26" t="s">
        <v>298</v>
      </c>
      <c r="B207" s="73" t="s">
        <v>180</v>
      </c>
      <c r="C207" s="31" t="s">
        <v>88</v>
      </c>
      <c r="D207" s="27">
        <v>4.2079999999999999E-2</v>
      </c>
      <c r="E207" s="18"/>
      <c r="F207" s="18">
        <f t="shared" si="6"/>
        <v>0</v>
      </c>
    </row>
    <row r="208" spans="1:6" ht="31.5">
      <c r="A208" s="26" t="s">
        <v>299</v>
      </c>
      <c r="B208" s="73" t="s">
        <v>181</v>
      </c>
      <c r="C208" s="31" t="s">
        <v>91</v>
      </c>
      <c r="D208" s="27">
        <f>0.009678*100</f>
        <v>0.9678000000000001</v>
      </c>
      <c r="E208" s="18"/>
      <c r="F208" s="18">
        <f t="shared" si="6"/>
        <v>0</v>
      </c>
    </row>
    <row r="209" spans="1:6" ht="47.25">
      <c r="A209" s="26" t="s">
        <v>300</v>
      </c>
      <c r="B209" s="73" t="s">
        <v>182</v>
      </c>
      <c r="C209" s="31" t="s">
        <v>91</v>
      </c>
      <c r="D209" s="27">
        <f>0.009678*100</f>
        <v>0.9678000000000001</v>
      </c>
      <c r="E209" s="18"/>
      <c r="F209" s="18">
        <f t="shared" si="6"/>
        <v>0</v>
      </c>
    </row>
    <row r="210" spans="1:6" ht="31.5">
      <c r="A210" s="26" t="s">
        <v>301</v>
      </c>
      <c r="B210" s="73" t="s">
        <v>183</v>
      </c>
      <c r="C210" s="31" t="s">
        <v>86</v>
      </c>
      <c r="D210" s="27">
        <v>1.4616</v>
      </c>
      <c r="E210" s="18"/>
      <c r="F210" s="18">
        <f t="shared" si="6"/>
        <v>0</v>
      </c>
    </row>
    <row r="211" spans="1:6" ht="31.5">
      <c r="A211" s="26" t="s">
        <v>302</v>
      </c>
      <c r="B211" s="73" t="s">
        <v>124</v>
      </c>
      <c r="C211" s="31" t="s">
        <v>88</v>
      </c>
      <c r="D211" s="27">
        <v>0.20839996799999999</v>
      </c>
      <c r="E211" s="18"/>
      <c r="F211" s="18">
        <f t="shared" si="6"/>
        <v>0</v>
      </c>
    </row>
    <row r="212" spans="1:6" ht="31.5">
      <c r="A212" s="26" t="s">
        <v>303</v>
      </c>
      <c r="B212" s="73" t="s">
        <v>123</v>
      </c>
      <c r="C212" s="31" t="s">
        <v>88</v>
      </c>
      <c r="D212" s="27">
        <v>3.4800479999999999E-3</v>
      </c>
      <c r="E212" s="18"/>
      <c r="F212" s="18">
        <f t="shared" si="6"/>
        <v>0</v>
      </c>
    </row>
    <row r="213" spans="1:6" ht="31.5">
      <c r="A213" s="26" t="s">
        <v>304</v>
      </c>
      <c r="B213" s="73" t="s">
        <v>184</v>
      </c>
      <c r="C213" s="31" t="s">
        <v>88</v>
      </c>
      <c r="D213" s="27">
        <v>1.116E-2</v>
      </c>
      <c r="E213" s="18"/>
      <c r="F213" s="18">
        <f t="shared" si="6"/>
        <v>0</v>
      </c>
    </row>
    <row r="214" spans="1:6" ht="20.45" customHeight="1">
      <c r="A214" s="26" t="s">
        <v>305</v>
      </c>
      <c r="B214" s="73" t="s">
        <v>185</v>
      </c>
      <c r="C214" s="31" t="s">
        <v>89</v>
      </c>
      <c r="D214" s="27">
        <v>2</v>
      </c>
      <c r="E214" s="18"/>
      <c r="F214" s="18">
        <f t="shared" si="6"/>
        <v>0</v>
      </c>
    </row>
    <row r="215" spans="1:6">
      <c r="A215" s="95"/>
      <c r="B215" s="96" t="s">
        <v>187</v>
      </c>
      <c r="C215" s="95"/>
      <c r="D215" s="97"/>
      <c r="E215" s="97"/>
      <c r="F215" s="95"/>
    </row>
    <row r="216" spans="1:6" ht="47.25">
      <c r="A216" s="26" t="s">
        <v>836</v>
      </c>
      <c r="B216" s="73" t="s">
        <v>186</v>
      </c>
      <c r="C216" s="31" t="s">
        <v>86</v>
      </c>
      <c r="D216" s="27">
        <v>7.3440000000000005E-2</v>
      </c>
      <c r="E216" s="18"/>
      <c r="F216" s="18">
        <f t="shared" ref="F216:F221" si="7">ROUND(D216*E216,2)</f>
        <v>0</v>
      </c>
    </row>
    <row r="217" spans="1:6">
      <c r="A217" s="23"/>
      <c r="B217" s="32" t="s">
        <v>17</v>
      </c>
      <c r="C217" s="19"/>
      <c r="D217" s="28"/>
      <c r="E217" s="20"/>
      <c r="F217" s="20">
        <f>SUM(F189:F216)</f>
        <v>0</v>
      </c>
    </row>
    <row r="218" spans="1:6" ht="36.75" customHeight="1">
      <c r="A218" s="89" t="s">
        <v>120</v>
      </c>
      <c r="B218" s="91" t="s">
        <v>190</v>
      </c>
      <c r="C218" s="89"/>
      <c r="D218" s="89"/>
      <c r="E218" s="89"/>
      <c r="F218" s="89"/>
    </row>
    <row r="219" spans="1:6" ht="47.25">
      <c r="A219" s="26" t="s">
        <v>83</v>
      </c>
      <c r="B219" s="73" t="s">
        <v>155</v>
      </c>
      <c r="C219" s="31" t="s">
        <v>89</v>
      </c>
      <c r="D219" s="27">
        <v>715</v>
      </c>
      <c r="E219" s="18"/>
      <c r="F219" s="18">
        <f t="shared" si="7"/>
        <v>0</v>
      </c>
    </row>
    <row r="220" spans="1:6" ht="31.5">
      <c r="A220" s="26" t="s">
        <v>84</v>
      </c>
      <c r="B220" s="73" t="s">
        <v>188</v>
      </c>
      <c r="C220" s="31" t="s">
        <v>89</v>
      </c>
      <c r="D220" s="27">
        <v>715</v>
      </c>
      <c r="E220" s="18"/>
      <c r="F220" s="18">
        <f t="shared" si="7"/>
        <v>0</v>
      </c>
    </row>
    <row r="221" spans="1:6" ht="47.25">
      <c r="A221" s="26" t="s">
        <v>85</v>
      </c>
      <c r="B221" s="73" t="s">
        <v>189</v>
      </c>
      <c r="C221" s="31" t="s">
        <v>89</v>
      </c>
      <c r="D221" s="27">
        <v>715</v>
      </c>
      <c r="E221" s="18"/>
      <c r="F221" s="18">
        <f t="shared" si="7"/>
        <v>0</v>
      </c>
    </row>
    <row r="222" spans="1:6">
      <c r="A222" s="23"/>
      <c r="B222" s="32" t="s">
        <v>17</v>
      </c>
      <c r="C222" s="19"/>
      <c r="D222" s="28"/>
      <c r="E222" s="20"/>
      <c r="F222" s="20">
        <f>SUM(F219:F221)</f>
        <v>0</v>
      </c>
    </row>
    <row r="223" spans="1:6" s="2" customFormat="1" ht="20.85" customHeight="1">
      <c r="A223" s="1" t="s">
        <v>3</v>
      </c>
      <c r="B223" s="216" t="s">
        <v>7</v>
      </c>
      <c r="C223" s="216"/>
      <c r="D223" s="216"/>
      <c r="E223" s="216"/>
      <c r="F223" s="216"/>
    </row>
    <row r="224" spans="1:6" s="2" customFormat="1" ht="36.6" customHeight="1">
      <c r="A224" s="3">
        <v>1</v>
      </c>
      <c r="B224" s="215" t="str">
        <f>B6</f>
        <v>Земляные работы / Excavation works</v>
      </c>
      <c r="C224" s="215"/>
      <c r="D224" s="215"/>
      <c r="E224" s="215"/>
      <c r="F224" s="4">
        <f>F19</f>
        <v>0</v>
      </c>
    </row>
    <row r="225" spans="1:6" s="2" customFormat="1" ht="36.6" customHeight="1">
      <c r="A225" s="3">
        <v>2</v>
      </c>
      <c r="B225" s="217" t="str">
        <f>B20</f>
        <v>Зона водоснабжения 1 / Water supply zone 1</v>
      </c>
      <c r="C225" s="218"/>
      <c r="D225" s="218"/>
      <c r="E225" s="219"/>
      <c r="F225" s="4">
        <f>F88</f>
        <v>0</v>
      </c>
    </row>
    <row r="226" spans="1:6" s="2" customFormat="1" ht="36.6" customHeight="1">
      <c r="A226" s="3">
        <v>3</v>
      </c>
      <c r="B226" s="217" t="str">
        <f>B89</f>
        <v>Зона водоснабжения 2 / Water supply zone 2</v>
      </c>
      <c r="C226" s="218"/>
      <c r="D226" s="218"/>
      <c r="E226" s="219"/>
      <c r="F226" s="4">
        <f>F124</f>
        <v>0</v>
      </c>
    </row>
    <row r="227" spans="1:6" s="2" customFormat="1" ht="36.6" customHeight="1">
      <c r="A227" s="3">
        <v>4</v>
      </c>
      <c r="B227" s="217" t="str">
        <f>B125</f>
        <v>Переходы в каналах / Transitions in channels</v>
      </c>
      <c r="C227" s="218"/>
      <c r="D227" s="218"/>
      <c r="E227" s="219"/>
      <c r="F227" s="4">
        <f>F131</f>
        <v>0</v>
      </c>
    </row>
    <row r="228" spans="1:6" s="2" customFormat="1" ht="36.6" customHeight="1">
      <c r="A228" s="3">
        <v>5</v>
      </c>
      <c r="B228" s="217" t="str">
        <f>B132</f>
        <v>Магистральный трубопровод (водовод) / Main pipeline (water pipeline)</v>
      </c>
      <c r="C228" s="218"/>
      <c r="D228" s="218"/>
      <c r="E228" s="219"/>
      <c r="F228" s="4">
        <f>F157</f>
        <v>0</v>
      </c>
    </row>
    <row r="229" spans="1:6" s="2" customFormat="1" ht="36.6" customHeight="1">
      <c r="A229" s="3">
        <v>6</v>
      </c>
      <c r="B229" s="217" t="str">
        <f>B158</f>
        <v>Колодец 1000х1000х1500 (общ. 6шт) / Well 1000x1000x1500 (total 6 pieces)</v>
      </c>
      <c r="C229" s="218"/>
      <c r="D229" s="218"/>
      <c r="E229" s="219"/>
      <c r="F229" s="4">
        <f>F187</f>
        <v>0</v>
      </c>
    </row>
    <row r="230" spans="1:6" s="2" customFormat="1" ht="36.6" customHeight="1">
      <c r="A230" s="3">
        <v>7</v>
      </c>
      <c r="B230" s="217" t="str">
        <f>B188</f>
        <v>Колодец 1500х1500х1800 (общ. 2шт) / Well 1500x1500x1800 (total 2 pieces)</v>
      </c>
      <c r="C230" s="218"/>
      <c r="D230" s="218"/>
      <c r="E230" s="219"/>
      <c r="F230" s="4">
        <f>F217</f>
        <v>0</v>
      </c>
    </row>
    <row r="231" spans="1:6" s="2" customFormat="1" ht="36.6" customHeight="1">
      <c r="A231" s="3">
        <v>8</v>
      </c>
      <c r="B231" s="217" t="str">
        <f>B218</f>
        <v>Водомерных узлов (общ. 715 шт) / Water meter units (total 715 pcs.)</v>
      </c>
      <c r="C231" s="218"/>
      <c r="D231" s="218"/>
      <c r="E231" s="219"/>
      <c r="F231" s="4">
        <f>F222</f>
        <v>0</v>
      </c>
    </row>
    <row r="232" spans="1:6" s="2" customFormat="1" ht="25.5" customHeight="1">
      <c r="A232" s="1" t="s">
        <v>3</v>
      </c>
      <c r="B232" s="212" t="s">
        <v>8</v>
      </c>
      <c r="C232" s="212"/>
      <c r="D232" s="212"/>
      <c r="E232" s="212"/>
      <c r="F232" s="5">
        <f>SUM(F224:F231)</f>
        <v>0</v>
      </c>
    </row>
    <row r="233" spans="1:6" s="15" customFormat="1" ht="28.5" customHeight="1">
      <c r="A233" s="211" t="s">
        <v>9</v>
      </c>
      <c r="B233" s="211"/>
      <c r="C233" s="211"/>
      <c r="D233" s="211"/>
      <c r="E233" s="211"/>
      <c r="F233" s="211"/>
    </row>
    <row r="234" spans="1:6" s="15" customFormat="1" ht="194.45" customHeight="1">
      <c r="A234" s="211" t="s">
        <v>10</v>
      </c>
      <c r="B234" s="211"/>
      <c r="C234" s="211"/>
      <c r="D234" s="211"/>
      <c r="E234" s="211"/>
      <c r="F234" s="211"/>
    </row>
    <row r="235" spans="1:6" s="15" customFormat="1" ht="45.6" customHeight="1">
      <c r="A235" s="211" t="s">
        <v>11</v>
      </c>
      <c r="B235" s="211"/>
      <c r="C235" s="211"/>
      <c r="D235" s="211"/>
      <c r="E235" s="211"/>
      <c r="F235" s="211"/>
    </row>
    <row r="236" spans="1:6" s="15" customFormat="1" ht="169.35" customHeight="1">
      <c r="A236" s="211" t="s">
        <v>12</v>
      </c>
      <c r="B236" s="211"/>
      <c r="C236" s="211"/>
      <c r="D236" s="211"/>
      <c r="E236" s="211"/>
      <c r="F236" s="211"/>
    </row>
    <row r="237" spans="1:6" s="9" customFormat="1">
      <c r="A237" s="6"/>
      <c r="B237" s="7"/>
      <c r="C237" s="6"/>
      <c r="D237" s="8"/>
      <c r="E237" s="6"/>
      <c r="F237" s="6"/>
    </row>
    <row r="238" spans="1:6" s="9" customFormat="1">
      <c r="A238" s="6"/>
      <c r="B238" s="7"/>
      <c r="C238" s="6"/>
      <c r="D238" s="8"/>
      <c r="E238" s="6"/>
      <c r="F238" s="6"/>
    </row>
    <row r="239" spans="1:6" s="13" customFormat="1">
      <c r="A239" s="12"/>
      <c r="B239" s="11" t="s">
        <v>13</v>
      </c>
      <c r="C239" s="12"/>
      <c r="D239" s="8"/>
      <c r="E239" s="6"/>
      <c r="F239" s="6"/>
    </row>
    <row r="240" spans="1:6" s="13" customFormat="1">
      <c r="A240" s="12"/>
      <c r="B240" s="14" t="s">
        <v>14</v>
      </c>
      <c r="C240" s="12"/>
      <c r="D240" s="8"/>
      <c r="E240" s="6"/>
      <c r="F240" s="6"/>
    </row>
    <row r="241" spans="1:6" s="13" customFormat="1">
      <c r="A241" s="12"/>
      <c r="B241" s="14"/>
      <c r="C241" s="12"/>
      <c r="D241" s="8"/>
      <c r="E241" s="6"/>
      <c r="F241" s="6"/>
    </row>
    <row r="242" spans="1:6" s="13" customFormat="1">
      <c r="A242" s="12"/>
      <c r="B242" s="10"/>
      <c r="C242" s="12"/>
      <c r="D242" s="8"/>
      <c r="E242" s="6"/>
      <c r="F242" s="6"/>
    </row>
    <row r="243" spans="1:6" s="13" customFormat="1">
      <c r="A243" s="12"/>
      <c r="B243" s="10"/>
      <c r="C243" s="12"/>
      <c r="D243" s="8"/>
      <c r="E243" s="6"/>
      <c r="F243" s="6"/>
    </row>
    <row r="244" spans="1:6" s="13" customFormat="1">
      <c r="A244" s="12"/>
      <c r="B244" s="10" t="s">
        <v>15</v>
      </c>
      <c r="C244" s="12"/>
      <c r="D244" s="8"/>
      <c r="E244" s="6"/>
      <c r="F244" s="6"/>
    </row>
    <row r="245" spans="1:6" s="13" customFormat="1">
      <c r="A245" s="12"/>
      <c r="B245" s="10" t="s">
        <v>16</v>
      </c>
      <c r="C245" s="12"/>
      <c r="D245" s="8"/>
      <c r="E245" s="6"/>
      <c r="F245" s="6"/>
    </row>
  </sheetData>
  <protectedRanges>
    <protectedRange sqref="E4" name="Range1"/>
  </protectedRanges>
  <mergeCells count="16">
    <mergeCell ref="A235:F235"/>
    <mergeCell ref="A236:F236"/>
    <mergeCell ref="B228:E228"/>
    <mergeCell ref="B232:E232"/>
    <mergeCell ref="A233:F233"/>
    <mergeCell ref="A234:F234"/>
    <mergeCell ref="B231:E231"/>
    <mergeCell ref="B226:E226"/>
    <mergeCell ref="B227:E227"/>
    <mergeCell ref="B229:E229"/>
    <mergeCell ref="B230:E230"/>
    <mergeCell ref="A2:F2"/>
    <mergeCell ref="A3:F3"/>
    <mergeCell ref="B223:F223"/>
    <mergeCell ref="B224:E224"/>
    <mergeCell ref="B225:E22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D48C-3F7B-4174-BE78-AD27E3015710}">
  <sheetPr>
    <tabColor rgb="FF00B050"/>
  </sheetPr>
  <dimension ref="A1:F159"/>
  <sheetViews>
    <sheetView zoomScale="85" zoomScaleNormal="85" workbookViewId="0">
      <selection activeCell="F1" sqref="F1"/>
    </sheetView>
  </sheetViews>
  <sheetFormatPr defaultColWidth="8.85546875" defaultRowHeight="15.75"/>
  <cols>
    <col min="1" max="1" width="9.140625" style="191" customWidth="1"/>
    <col min="2" max="2" width="58.5703125" style="192" customWidth="1"/>
    <col min="3" max="3" width="16" style="192" customWidth="1"/>
    <col min="4" max="4" width="16" style="193" customWidth="1"/>
    <col min="5" max="6" width="16" style="191" customWidth="1"/>
    <col min="7" max="16384" width="8.85546875" style="153"/>
  </cols>
  <sheetData>
    <row r="1" spans="1:6" s="145" customFormat="1" ht="20.45" customHeight="1">
      <c r="A1" s="140"/>
      <c r="B1" s="141"/>
      <c r="C1" s="140"/>
      <c r="D1" s="142"/>
      <c r="E1" s="143" t="s">
        <v>107</v>
      </c>
      <c r="F1" s="144"/>
    </row>
    <row r="2" spans="1:6" s="146" customFormat="1" ht="50.45" customHeight="1">
      <c r="A2" s="221" t="str">
        <f>SUM!A12</f>
        <v xml:space="preserve">ВЕДОМОСТЬ ОБЪЕМОВ РАБОТ / BILL OF QUANTITIES </v>
      </c>
      <c r="B2" s="221"/>
      <c r="C2" s="221"/>
      <c r="D2" s="221"/>
      <c r="E2" s="221"/>
      <c r="F2" s="221"/>
    </row>
    <row r="3" spans="1:6" s="147" customFormat="1" ht="58.5" customHeight="1">
      <c r="A3" s="222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22"/>
      <c r="C3" s="222"/>
      <c r="D3" s="222"/>
      <c r="E3" s="222"/>
      <c r="F3" s="222"/>
    </row>
    <row r="4" spans="1:6" s="145" customFormat="1" ht="69" customHeight="1">
      <c r="A4" s="148" t="s">
        <v>95</v>
      </c>
      <c r="B4" s="148" t="s">
        <v>92</v>
      </c>
      <c r="C4" s="148" t="s">
        <v>890</v>
      </c>
      <c r="D4" s="149" t="s">
        <v>116</v>
      </c>
      <c r="E4" s="150" t="s">
        <v>99</v>
      </c>
      <c r="F4" s="151" t="s">
        <v>100</v>
      </c>
    </row>
    <row r="5" spans="1:6" ht="34.5" customHeight="1">
      <c r="A5" s="152" t="s">
        <v>4</v>
      </c>
      <c r="B5" s="154" t="s">
        <v>975</v>
      </c>
      <c r="C5" s="152"/>
      <c r="D5" s="152"/>
      <c r="E5" s="152"/>
      <c r="F5" s="152"/>
    </row>
    <row r="6" spans="1:6" ht="24.75" customHeight="1">
      <c r="A6" s="152" t="s">
        <v>147</v>
      </c>
      <c r="B6" s="154" t="s">
        <v>153</v>
      </c>
      <c r="C6" s="152"/>
      <c r="D6" s="152"/>
      <c r="E6" s="152"/>
      <c r="F6" s="152"/>
    </row>
    <row r="7" spans="1:6" ht="21.75" customHeight="1">
      <c r="A7" s="152" t="s">
        <v>1</v>
      </c>
      <c r="B7" s="155" t="s">
        <v>129</v>
      </c>
      <c r="C7" s="152"/>
      <c r="D7" s="152"/>
      <c r="E7" s="152"/>
      <c r="F7" s="152"/>
    </row>
    <row r="8" spans="1:6" ht="41.25" customHeight="1">
      <c r="A8" s="156" t="s">
        <v>1</v>
      </c>
      <c r="B8" s="157" t="s">
        <v>310</v>
      </c>
      <c r="C8" s="158" t="s">
        <v>86</v>
      </c>
      <c r="D8" s="159">
        <f>0.0432*100</f>
        <v>4.32</v>
      </c>
      <c r="E8" s="160"/>
      <c r="F8" s="160">
        <f t="shared" ref="F8:F49" si="0">ROUND(D8*E8,2)</f>
        <v>0</v>
      </c>
    </row>
    <row r="9" spans="1:6" ht="25.5" customHeight="1">
      <c r="A9" s="152" t="s">
        <v>18</v>
      </c>
      <c r="B9" s="154" t="s">
        <v>311</v>
      </c>
      <c r="C9" s="152"/>
      <c r="D9" s="152"/>
      <c r="E9" s="152"/>
      <c r="F9" s="152"/>
    </row>
    <row r="10" spans="1:6" ht="40.5" customHeight="1">
      <c r="A10" s="156" t="s">
        <v>839</v>
      </c>
      <c r="B10" s="157" t="s">
        <v>131</v>
      </c>
      <c r="C10" s="158" t="s">
        <v>86</v>
      </c>
      <c r="D10" s="159">
        <v>2.448</v>
      </c>
      <c r="E10" s="160"/>
      <c r="F10" s="160">
        <f t="shared" si="0"/>
        <v>0</v>
      </c>
    </row>
    <row r="11" spans="1:6" ht="47.25">
      <c r="A11" s="156" t="s">
        <v>840</v>
      </c>
      <c r="B11" s="157" t="s">
        <v>597</v>
      </c>
      <c r="C11" s="158" t="s">
        <v>86</v>
      </c>
      <c r="D11" s="159">
        <v>1.2729999999999999</v>
      </c>
      <c r="E11" s="160"/>
      <c r="F11" s="160">
        <f t="shared" si="0"/>
        <v>0</v>
      </c>
    </row>
    <row r="12" spans="1:6" ht="31.5">
      <c r="A12" s="156"/>
      <c r="B12" s="161" t="s">
        <v>177</v>
      </c>
      <c r="C12" s="158"/>
      <c r="D12" s="159"/>
      <c r="E12" s="160"/>
      <c r="F12" s="160"/>
    </row>
    <row r="13" spans="1:6">
      <c r="A13" s="156" t="s">
        <v>841</v>
      </c>
      <c r="B13" s="157" t="s">
        <v>346</v>
      </c>
      <c r="C13" s="158" t="s">
        <v>88</v>
      </c>
      <c r="D13" s="159">
        <v>3.8400000000000004E-2</v>
      </c>
      <c r="E13" s="160"/>
      <c r="F13" s="160">
        <f t="shared" si="0"/>
        <v>0</v>
      </c>
    </row>
    <row r="14" spans="1:6">
      <c r="A14" s="156" t="s">
        <v>842</v>
      </c>
      <c r="B14" s="157" t="s">
        <v>347</v>
      </c>
      <c r="C14" s="158" t="s">
        <v>88</v>
      </c>
      <c r="D14" s="159">
        <v>0.16319999999999998</v>
      </c>
      <c r="E14" s="160"/>
      <c r="F14" s="160">
        <f t="shared" si="0"/>
        <v>0</v>
      </c>
    </row>
    <row r="15" spans="1:6" ht="36" customHeight="1">
      <c r="A15" s="156" t="s">
        <v>843</v>
      </c>
      <c r="B15" s="157" t="s">
        <v>127</v>
      </c>
      <c r="C15" s="158" t="s">
        <v>91</v>
      </c>
      <c r="D15" s="159">
        <v>212</v>
      </c>
      <c r="E15" s="160"/>
      <c r="F15" s="160">
        <f t="shared" si="0"/>
        <v>0</v>
      </c>
    </row>
    <row r="16" spans="1:6" ht="47.25">
      <c r="A16" s="152" t="s">
        <v>19</v>
      </c>
      <c r="B16" s="154" t="s">
        <v>135</v>
      </c>
      <c r="C16" s="152"/>
      <c r="D16" s="152"/>
      <c r="E16" s="152"/>
      <c r="F16" s="152"/>
    </row>
    <row r="17" spans="1:6" ht="42.75" customHeight="1">
      <c r="A17" s="162"/>
      <c r="B17" s="163" t="s">
        <v>313</v>
      </c>
      <c r="C17" s="164"/>
      <c r="D17" s="164"/>
      <c r="E17" s="165"/>
      <c r="F17" s="165"/>
    </row>
    <row r="18" spans="1:6" ht="31.5">
      <c r="A18" s="156" t="s">
        <v>844</v>
      </c>
      <c r="B18" s="157" t="s">
        <v>489</v>
      </c>
      <c r="C18" s="158" t="s">
        <v>88</v>
      </c>
      <c r="D18" s="159">
        <v>0.66345999999999994</v>
      </c>
      <c r="E18" s="160"/>
      <c r="F18" s="160">
        <f t="shared" si="0"/>
        <v>0</v>
      </c>
    </row>
    <row r="19" spans="1:6" ht="31.5">
      <c r="A19" s="156" t="s">
        <v>845</v>
      </c>
      <c r="B19" s="157" t="s">
        <v>490</v>
      </c>
      <c r="C19" s="158" t="s">
        <v>88</v>
      </c>
      <c r="D19" s="159">
        <v>0.47039999999999998</v>
      </c>
      <c r="E19" s="160"/>
      <c r="F19" s="160">
        <f t="shared" si="0"/>
        <v>0</v>
      </c>
    </row>
    <row r="20" spans="1:6" ht="31.5">
      <c r="A20" s="156" t="s">
        <v>846</v>
      </c>
      <c r="B20" s="157" t="s">
        <v>491</v>
      </c>
      <c r="C20" s="158" t="s">
        <v>88</v>
      </c>
      <c r="D20" s="159">
        <v>9.4079999999999997E-2</v>
      </c>
      <c r="E20" s="160"/>
      <c r="F20" s="160">
        <f t="shared" si="0"/>
        <v>0</v>
      </c>
    </row>
    <row r="21" spans="1:6">
      <c r="A21" s="156" t="s">
        <v>847</v>
      </c>
      <c r="B21" s="157" t="s">
        <v>492</v>
      </c>
      <c r="C21" s="158" t="s">
        <v>88</v>
      </c>
      <c r="D21" s="159">
        <v>4.3119999999999999E-2</v>
      </c>
      <c r="E21" s="160"/>
      <c r="F21" s="160">
        <f t="shared" si="0"/>
        <v>0</v>
      </c>
    </row>
    <row r="22" spans="1:6">
      <c r="A22" s="156" t="s">
        <v>848</v>
      </c>
      <c r="B22" s="157" t="s">
        <v>493</v>
      </c>
      <c r="C22" s="158" t="s">
        <v>88</v>
      </c>
      <c r="D22" s="159">
        <v>4.3119999999999999E-2</v>
      </c>
      <c r="E22" s="160"/>
      <c r="F22" s="160">
        <f t="shared" si="0"/>
        <v>0</v>
      </c>
    </row>
    <row r="23" spans="1:6">
      <c r="A23" s="156" t="s">
        <v>849</v>
      </c>
      <c r="B23" s="157" t="s">
        <v>494</v>
      </c>
      <c r="C23" s="158" t="s">
        <v>88</v>
      </c>
      <c r="D23" s="159">
        <v>0.66395000000000004</v>
      </c>
      <c r="E23" s="160"/>
      <c r="F23" s="160">
        <f t="shared" si="0"/>
        <v>0</v>
      </c>
    </row>
    <row r="24" spans="1:6" ht="31.5">
      <c r="A24" s="156" t="s">
        <v>850</v>
      </c>
      <c r="B24" s="157" t="s">
        <v>495</v>
      </c>
      <c r="C24" s="158" t="s">
        <v>88</v>
      </c>
      <c r="D24" s="159">
        <v>6.1740000000000003E-2</v>
      </c>
      <c r="E24" s="160"/>
      <c r="F24" s="160">
        <f t="shared" si="0"/>
        <v>0</v>
      </c>
    </row>
    <row r="25" spans="1:6" ht="31.5">
      <c r="A25" s="156" t="s">
        <v>851</v>
      </c>
      <c r="B25" s="166" t="s">
        <v>496</v>
      </c>
      <c r="C25" s="158" t="s">
        <v>88</v>
      </c>
      <c r="D25" s="159">
        <v>4.3609999999999996E-2</v>
      </c>
      <c r="E25" s="160"/>
      <c r="F25" s="160">
        <f t="shared" si="0"/>
        <v>0</v>
      </c>
    </row>
    <row r="26" spans="1:6" ht="31.5">
      <c r="A26" s="156" t="s">
        <v>852</v>
      </c>
      <c r="B26" s="166" t="s">
        <v>497</v>
      </c>
      <c r="C26" s="158" t="s">
        <v>88</v>
      </c>
      <c r="D26" s="159">
        <v>0.90503</v>
      </c>
      <c r="E26" s="160"/>
      <c r="F26" s="160">
        <f t="shared" si="0"/>
        <v>0</v>
      </c>
    </row>
    <row r="27" spans="1:6" ht="31.5">
      <c r="A27" s="156" t="s">
        <v>853</v>
      </c>
      <c r="B27" s="166" t="s">
        <v>498</v>
      </c>
      <c r="C27" s="158" t="s">
        <v>88</v>
      </c>
      <c r="D27" s="159">
        <v>5.7976799999999995E-2</v>
      </c>
      <c r="E27" s="160"/>
      <c r="F27" s="160">
        <f t="shared" si="0"/>
        <v>0</v>
      </c>
    </row>
    <row r="28" spans="1:6" ht="47.25">
      <c r="A28" s="156" t="s">
        <v>854</v>
      </c>
      <c r="B28" s="157" t="s">
        <v>137</v>
      </c>
      <c r="C28" s="158" t="s">
        <v>91</v>
      </c>
      <c r="D28" s="159">
        <v>294</v>
      </c>
      <c r="E28" s="160"/>
      <c r="F28" s="160">
        <f t="shared" si="0"/>
        <v>0</v>
      </c>
    </row>
    <row r="29" spans="1:6" ht="47.25">
      <c r="A29" s="156" t="s">
        <v>855</v>
      </c>
      <c r="B29" s="157" t="s">
        <v>138</v>
      </c>
      <c r="C29" s="158" t="s">
        <v>91</v>
      </c>
      <c r="D29" s="159">
        <v>294</v>
      </c>
      <c r="E29" s="160"/>
      <c r="F29" s="160">
        <f t="shared" si="0"/>
        <v>0</v>
      </c>
    </row>
    <row r="30" spans="1:6" ht="21" customHeight="1">
      <c r="A30" s="162"/>
      <c r="B30" s="163" t="s">
        <v>136</v>
      </c>
      <c r="C30" s="164"/>
      <c r="D30" s="164"/>
      <c r="E30" s="165"/>
      <c r="F30" s="165"/>
    </row>
    <row r="31" spans="1:6" ht="41.25" customHeight="1">
      <c r="A31" s="156" t="s">
        <v>856</v>
      </c>
      <c r="B31" s="157" t="s">
        <v>310</v>
      </c>
      <c r="C31" s="158" t="s">
        <v>86</v>
      </c>
      <c r="D31" s="159">
        <v>0.82</v>
      </c>
      <c r="E31" s="160"/>
      <c r="F31" s="160">
        <f t="shared" ref="F31" si="1">ROUND(D31*E31,2)</f>
        <v>0</v>
      </c>
    </row>
    <row r="32" spans="1:6" ht="47.25">
      <c r="A32" s="156" t="s">
        <v>857</v>
      </c>
      <c r="B32" s="157" t="s">
        <v>598</v>
      </c>
      <c r="C32" s="158" t="s">
        <v>86</v>
      </c>
      <c r="D32" s="159">
        <v>0.52</v>
      </c>
      <c r="E32" s="160"/>
      <c r="F32" s="160">
        <f t="shared" si="0"/>
        <v>0</v>
      </c>
    </row>
    <row r="33" spans="1:6" ht="31.5">
      <c r="A33" s="156"/>
      <c r="B33" s="161" t="s">
        <v>500</v>
      </c>
      <c r="C33" s="158"/>
      <c r="D33" s="159"/>
      <c r="E33" s="160"/>
      <c r="F33" s="160"/>
    </row>
    <row r="34" spans="1:6">
      <c r="A34" s="156" t="s">
        <v>858</v>
      </c>
      <c r="B34" s="157" t="s">
        <v>346</v>
      </c>
      <c r="C34" s="158" t="s">
        <v>88</v>
      </c>
      <c r="D34" s="159">
        <v>1.6000000000000001E-3</v>
      </c>
      <c r="E34" s="160"/>
      <c r="F34" s="160">
        <f t="shared" si="0"/>
        <v>0</v>
      </c>
    </row>
    <row r="35" spans="1:6">
      <c r="A35" s="156" t="s">
        <v>859</v>
      </c>
      <c r="B35" s="157" t="s">
        <v>347</v>
      </c>
      <c r="C35" s="158" t="s">
        <v>88</v>
      </c>
      <c r="D35" s="159">
        <v>6.7999999999999996E-3</v>
      </c>
      <c r="E35" s="160"/>
      <c r="F35" s="160">
        <f t="shared" si="0"/>
        <v>0</v>
      </c>
    </row>
    <row r="36" spans="1:6" ht="31.5">
      <c r="A36" s="156" t="s">
        <v>860</v>
      </c>
      <c r="B36" s="157" t="s">
        <v>127</v>
      </c>
      <c r="C36" s="158" t="s">
        <v>91</v>
      </c>
      <c r="D36" s="159">
        <v>3.84</v>
      </c>
      <c r="E36" s="160"/>
      <c r="F36" s="160">
        <f t="shared" si="0"/>
        <v>0</v>
      </c>
    </row>
    <row r="37" spans="1:6" ht="47.25">
      <c r="A37" s="167"/>
      <c r="B37" s="168" t="s">
        <v>135</v>
      </c>
      <c r="C37" s="169"/>
      <c r="D37" s="169"/>
      <c r="E37" s="170"/>
      <c r="F37" s="170"/>
    </row>
    <row r="38" spans="1:6" ht="31.5">
      <c r="A38" s="156" t="s">
        <v>861</v>
      </c>
      <c r="B38" s="157" t="s">
        <v>501</v>
      </c>
      <c r="C38" s="158" t="s">
        <v>88</v>
      </c>
      <c r="D38" s="159">
        <v>1.4E-2</v>
      </c>
      <c r="E38" s="160"/>
      <c r="F38" s="160">
        <f t="shared" si="0"/>
        <v>0</v>
      </c>
    </row>
    <row r="39" spans="1:6" ht="31.5">
      <c r="A39" s="156" t="s">
        <v>862</v>
      </c>
      <c r="B39" s="157" t="s">
        <v>502</v>
      </c>
      <c r="C39" s="158" t="s">
        <v>88</v>
      </c>
      <c r="D39" s="159">
        <v>1.2E-2</v>
      </c>
      <c r="E39" s="160"/>
      <c r="F39" s="160">
        <f t="shared" si="0"/>
        <v>0</v>
      </c>
    </row>
    <row r="40" spans="1:6" ht="31.5">
      <c r="A40" s="156" t="s">
        <v>863</v>
      </c>
      <c r="B40" s="157" t="s">
        <v>490</v>
      </c>
      <c r="C40" s="158" t="s">
        <v>88</v>
      </c>
      <c r="D40" s="159">
        <v>1.9199999999999998E-2</v>
      </c>
      <c r="E40" s="160"/>
      <c r="F40" s="160">
        <f t="shared" si="0"/>
        <v>0</v>
      </c>
    </row>
    <row r="41" spans="1:6" ht="31.5">
      <c r="A41" s="156" t="s">
        <v>864</v>
      </c>
      <c r="B41" s="157" t="s">
        <v>491</v>
      </c>
      <c r="C41" s="158" t="s">
        <v>88</v>
      </c>
      <c r="D41" s="159">
        <v>3.8399999999999997E-3</v>
      </c>
      <c r="E41" s="160"/>
      <c r="F41" s="160">
        <f t="shared" si="0"/>
        <v>0</v>
      </c>
    </row>
    <row r="42" spans="1:6">
      <c r="A42" s="156" t="s">
        <v>865</v>
      </c>
      <c r="B42" s="157" t="s">
        <v>494</v>
      </c>
      <c r="C42" s="158" t="s">
        <v>88</v>
      </c>
      <c r="D42" s="159">
        <v>7.0699999999999999E-3</v>
      </c>
      <c r="E42" s="160"/>
      <c r="F42" s="160">
        <f t="shared" si="0"/>
        <v>0</v>
      </c>
    </row>
    <row r="43" spans="1:6" ht="31.5">
      <c r="A43" s="156" t="s">
        <v>866</v>
      </c>
      <c r="B43" s="157" t="s">
        <v>503</v>
      </c>
      <c r="C43" s="158" t="s">
        <v>88</v>
      </c>
      <c r="D43" s="159">
        <v>1.2960000000000001E-3</v>
      </c>
      <c r="E43" s="160"/>
      <c r="F43" s="160">
        <f t="shared" si="0"/>
        <v>0</v>
      </c>
    </row>
    <row r="44" spans="1:6" ht="31.5">
      <c r="A44" s="156" t="s">
        <v>867</v>
      </c>
      <c r="B44" s="157" t="s">
        <v>496</v>
      </c>
      <c r="C44" s="158" t="s">
        <v>88</v>
      </c>
      <c r="D44" s="159">
        <v>1.7800000000000001E-3</v>
      </c>
      <c r="E44" s="160"/>
      <c r="F44" s="160">
        <f t="shared" si="0"/>
        <v>0</v>
      </c>
    </row>
    <row r="45" spans="1:6" ht="31.5">
      <c r="A45" s="156" t="s">
        <v>868</v>
      </c>
      <c r="B45" s="157" t="s">
        <v>497</v>
      </c>
      <c r="C45" s="158" t="s">
        <v>88</v>
      </c>
      <c r="D45" s="159">
        <v>3.6940000000000001E-2</v>
      </c>
      <c r="E45" s="160"/>
      <c r="F45" s="160">
        <f t="shared" si="0"/>
        <v>0</v>
      </c>
    </row>
    <row r="46" spans="1:6" ht="31.5">
      <c r="A46" s="156" t="s">
        <v>869</v>
      </c>
      <c r="B46" s="157" t="s">
        <v>504</v>
      </c>
      <c r="C46" s="158" t="s">
        <v>88</v>
      </c>
      <c r="D46" s="159">
        <v>5.7582399999999985E-4</v>
      </c>
      <c r="E46" s="160"/>
      <c r="F46" s="160">
        <f t="shared" si="0"/>
        <v>0</v>
      </c>
    </row>
    <row r="47" spans="1:6">
      <c r="A47" s="156" t="s">
        <v>870</v>
      </c>
      <c r="B47" s="157" t="s">
        <v>505</v>
      </c>
      <c r="C47" s="158" t="s">
        <v>89</v>
      </c>
      <c r="D47" s="159">
        <v>4</v>
      </c>
      <c r="E47" s="160"/>
      <c r="F47" s="160">
        <f t="shared" si="0"/>
        <v>0</v>
      </c>
    </row>
    <row r="48" spans="1:6" ht="47.25">
      <c r="A48" s="156" t="s">
        <v>871</v>
      </c>
      <c r="B48" s="157" t="s">
        <v>137</v>
      </c>
      <c r="C48" s="158" t="s">
        <v>91</v>
      </c>
      <c r="D48" s="159">
        <v>6</v>
      </c>
      <c r="E48" s="160"/>
      <c r="F48" s="160">
        <f t="shared" si="0"/>
        <v>0</v>
      </c>
    </row>
    <row r="49" spans="1:6" ht="47.25">
      <c r="A49" s="156" t="s">
        <v>872</v>
      </c>
      <c r="B49" s="157" t="s">
        <v>138</v>
      </c>
      <c r="C49" s="158" t="s">
        <v>91</v>
      </c>
      <c r="D49" s="159">
        <v>6</v>
      </c>
      <c r="E49" s="160"/>
      <c r="F49" s="160">
        <f t="shared" si="0"/>
        <v>0</v>
      </c>
    </row>
    <row r="50" spans="1:6" ht="19.5" customHeight="1">
      <c r="A50" s="171"/>
      <c r="B50" s="172" t="s">
        <v>17</v>
      </c>
      <c r="C50" s="173"/>
      <c r="D50" s="174"/>
      <c r="E50" s="139"/>
      <c r="F50" s="139">
        <f>SUM(F8:F49)</f>
        <v>0</v>
      </c>
    </row>
    <row r="51" spans="1:6" s="16" customFormat="1" ht="34.5" customHeight="1">
      <c r="A51" s="89" t="s">
        <v>139</v>
      </c>
      <c r="B51" s="155" t="s">
        <v>874</v>
      </c>
      <c r="C51" s="89"/>
      <c r="D51" s="89"/>
      <c r="E51" s="89"/>
      <c r="F51" s="89"/>
    </row>
    <row r="52" spans="1:6" s="16" customFormat="1" ht="24.6" customHeight="1">
      <c r="A52" s="89" t="s">
        <v>31</v>
      </c>
      <c r="B52" s="155" t="s">
        <v>129</v>
      </c>
      <c r="C52" s="89"/>
      <c r="D52" s="89"/>
      <c r="E52" s="89"/>
      <c r="F52" s="89"/>
    </row>
    <row r="53" spans="1:6" s="16" customFormat="1" ht="78.75">
      <c r="A53" s="26" t="s">
        <v>893</v>
      </c>
      <c r="B53" s="73" t="s">
        <v>599</v>
      </c>
      <c r="C53" s="31" t="s">
        <v>86</v>
      </c>
      <c r="D53" s="27">
        <f>0.536*1000</f>
        <v>536</v>
      </c>
      <c r="E53" s="18"/>
      <c r="F53" s="18">
        <f t="shared" ref="F53:F58" si="2">ROUND(D53*E53,2)</f>
        <v>0</v>
      </c>
    </row>
    <row r="54" spans="1:6" s="16" customFormat="1" ht="31.5">
      <c r="A54" s="26" t="s">
        <v>983</v>
      </c>
      <c r="B54" s="73" t="s">
        <v>162</v>
      </c>
      <c r="C54" s="31" t="s">
        <v>86</v>
      </c>
      <c r="D54" s="27">
        <f>0.1608*100</f>
        <v>16.079999999999998</v>
      </c>
      <c r="E54" s="18"/>
      <c r="F54" s="18">
        <f t="shared" si="2"/>
        <v>0</v>
      </c>
    </row>
    <row r="55" spans="1:6" s="16" customFormat="1" ht="47.25">
      <c r="A55" s="26" t="s">
        <v>984</v>
      </c>
      <c r="B55" s="73" t="s">
        <v>600</v>
      </c>
      <c r="C55" s="31" t="s">
        <v>86</v>
      </c>
      <c r="D55" s="27">
        <f>0.3*100</f>
        <v>30</v>
      </c>
      <c r="E55" s="18"/>
      <c r="F55" s="18">
        <f t="shared" si="2"/>
        <v>0</v>
      </c>
    </row>
    <row r="56" spans="1:6" s="16" customFormat="1" ht="78.75">
      <c r="A56" s="26" t="s">
        <v>985</v>
      </c>
      <c r="B56" s="73" t="s">
        <v>163</v>
      </c>
      <c r="C56" s="31" t="s">
        <v>86</v>
      </c>
      <c r="D56" s="27">
        <f>0.4797*1000</f>
        <v>479.7</v>
      </c>
      <c r="E56" s="18"/>
      <c r="F56" s="18">
        <f>ROUND(D56*E56,2)</f>
        <v>0</v>
      </c>
    </row>
    <row r="57" spans="1:6" s="16" customFormat="1" ht="47.25">
      <c r="A57" s="26" t="s">
        <v>986</v>
      </c>
      <c r="B57" s="73" t="s">
        <v>130</v>
      </c>
      <c r="C57" s="31" t="s">
        <v>86</v>
      </c>
      <c r="D57" s="27">
        <f>0.4797*100</f>
        <v>47.97</v>
      </c>
      <c r="E57" s="18"/>
      <c r="F57" s="18">
        <f>ROUND(D57*E57,2)</f>
        <v>0</v>
      </c>
    </row>
    <row r="58" spans="1:6" s="16" customFormat="1" ht="31.5">
      <c r="A58" s="26" t="s">
        <v>987</v>
      </c>
      <c r="B58" s="73" t="s">
        <v>173</v>
      </c>
      <c r="C58" s="31" t="s">
        <v>86</v>
      </c>
      <c r="D58" s="27">
        <f>0.533*100</f>
        <v>53.300000000000004</v>
      </c>
      <c r="E58" s="18"/>
      <c r="F58" s="18">
        <f t="shared" si="2"/>
        <v>0</v>
      </c>
    </row>
    <row r="59" spans="1:6" s="16" customFormat="1" ht="18.75" customHeight="1">
      <c r="A59" s="89" t="s">
        <v>32</v>
      </c>
      <c r="B59" s="91" t="s">
        <v>978</v>
      </c>
      <c r="C59" s="89"/>
      <c r="D59" s="89"/>
      <c r="E59" s="89"/>
      <c r="F59" s="89"/>
    </row>
    <row r="60" spans="1:6" s="16" customFormat="1" ht="78.75">
      <c r="A60" s="26" t="s">
        <v>810</v>
      </c>
      <c r="B60" s="73" t="s">
        <v>601</v>
      </c>
      <c r="C60" s="31" t="s">
        <v>89</v>
      </c>
      <c r="D60" s="27">
        <v>1</v>
      </c>
      <c r="E60" s="18"/>
      <c r="F60" s="18">
        <f t="shared" ref="F60:F67" si="3">ROUND(D60*E60,2)</f>
        <v>0</v>
      </c>
    </row>
    <row r="61" spans="1:6" s="16" customFormat="1" ht="63">
      <c r="A61" s="26" t="s">
        <v>811</v>
      </c>
      <c r="B61" s="73" t="s">
        <v>602</v>
      </c>
      <c r="C61" s="31" t="s">
        <v>89</v>
      </c>
      <c r="D61" s="27">
        <f>3+1</f>
        <v>4</v>
      </c>
      <c r="E61" s="18"/>
      <c r="F61" s="18">
        <f t="shared" si="3"/>
        <v>0</v>
      </c>
    </row>
    <row r="62" spans="1:6" s="16" customFormat="1" ht="47.25">
      <c r="A62" s="26" t="s">
        <v>349</v>
      </c>
      <c r="B62" s="73" t="s">
        <v>609</v>
      </c>
      <c r="C62" s="31" t="s">
        <v>87</v>
      </c>
      <c r="D62" s="27">
        <f>0.017*1000</f>
        <v>17</v>
      </c>
      <c r="E62" s="18"/>
      <c r="F62" s="18">
        <f t="shared" si="3"/>
        <v>0</v>
      </c>
    </row>
    <row r="63" spans="1:6" s="16" customFormat="1" ht="63">
      <c r="A63" s="26" t="s">
        <v>812</v>
      </c>
      <c r="B63" s="73" t="s">
        <v>608</v>
      </c>
      <c r="C63" s="31" t="s">
        <v>87</v>
      </c>
      <c r="D63" s="27">
        <f>0.017*1000</f>
        <v>17</v>
      </c>
      <c r="E63" s="18"/>
      <c r="F63" s="18">
        <f t="shared" si="3"/>
        <v>0</v>
      </c>
    </row>
    <row r="64" spans="1:6" s="16" customFormat="1" ht="94.5">
      <c r="A64" s="26" t="s">
        <v>813</v>
      </c>
      <c r="B64" s="73" t="s">
        <v>511</v>
      </c>
      <c r="C64" s="31" t="s">
        <v>87</v>
      </c>
      <c r="D64" s="27">
        <f>0.005*1000</f>
        <v>5</v>
      </c>
      <c r="E64" s="18"/>
      <c r="F64" s="18">
        <f t="shared" si="3"/>
        <v>0</v>
      </c>
    </row>
    <row r="65" spans="1:6" s="16" customFormat="1" ht="63">
      <c r="A65" s="26" t="s">
        <v>814</v>
      </c>
      <c r="B65" s="73" t="s">
        <v>605</v>
      </c>
      <c r="C65" s="31" t="s">
        <v>87</v>
      </c>
      <c r="D65" s="27">
        <f>0.005*1000</f>
        <v>5</v>
      </c>
      <c r="E65" s="18"/>
      <c r="F65" s="18">
        <f t="shared" si="3"/>
        <v>0</v>
      </c>
    </row>
    <row r="66" spans="1:6" s="16" customFormat="1" ht="31.5">
      <c r="A66" s="26" t="s">
        <v>988</v>
      </c>
      <c r="B66" s="73" t="s">
        <v>716</v>
      </c>
      <c r="C66" s="31" t="s">
        <v>89</v>
      </c>
      <c r="D66" s="27">
        <v>1</v>
      </c>
      <c r="E66" s="18"/>
      <c r="F66" s="18">
        <f t="shared" si="3"/>
        <v>0</v>
      </c>
    </row>
    <row r="67" spans="1:6" s="16" customFormat="1">
      <c r="A67" s="26" t="s">
        <v>989</v>
      </c>
      <c r="B67" s="73" t="s">
        <v>715</v>
      </c>
      <c r="C67" s="31" t="s">
        <v>89</v>
      </c>
      <c r="D67" s="27">
        <v>1</v>
      </c>
      <c r="E67" s="18"/>
      <c r="F67" s="18">
        <f t="shared" si="3"/>
        <v>0</v>
      </c>
    </row>
    <row r="68" spans="1:6" s="16" customFormat="1" ht="18.75" customHeight="1">
      <c r="A68" s="89" t="s">
        <v>33</v>
      </c>
      <c r="B68" s="91" t="s">
        <v>979</v>
      </c>
      <c r="C68" s="89"/>
      <c r="D68" s="89"/>
      <c r="E68" s="89"/>
      <c r="F68" s="89"/>
    </row>
    <row r="69" spans="1:6" s="16" customFormat="1" ht="78.75">
      <c r="A69" s="26" t="s">
        <v>314</v>
      </c>
      <c r="B69" s="73" t="s">
        <v>601</v>
      </c>
      <c r="C69" s="31" t="s">
        <v>89</v>
      </c>
      <c r="D69" s="27">
        <v>1</v>
      </c>
      <c r="E69" s="18"/>
      <c r="F69" s="18">
        <f t="shared" ref="F69:F72" si="4">ROUND(D69*E69,2)</f>
        <v>0</v>
      </c>
    </row>
    <row r="70" spans="1:6" s="16" customFormat="1" ht="68.25" customHeight="1">
      <c r="A70" s="26" t="s">
        <v>315</v>
      </c>
      <c r="B70" s="73" t="s">
        <v>603</v>
      </c>
      <c r="C70" s="31" t="s">
        <v>89</v>
      </c>
      <c r="D70" s="27">
        <f>4+1</f>
        <v>5</v>
      </c>
      <c r="E70" s="18"/>
      <c r="F70" s="18">
        <f t="shared" si="4"/>
        <v>0</v>
      </c>
    </row>
    <row r="71" spans="1:6" s="16" customFormat="1" ht="88.5" customHeight="1">
      <c r="A71" s="26" t="s">
        <v>316</v>
      </c>
      <c r="B71" s="73" t="s">
        <v>604</v>
      </c>
      <c r="C71" s="31" t="s">
        <v>87</v>
      </c>
      <c r="D71" s="27">
        <v>5</v>
      </c>
      <c r="E71" s="18"/>
      <c r="F71" s="18">
        <f t="shared" si="4"/>
        <v>0</v>
      </c>
    </row>
    <row r="72" spans="1:6" s="16" customFormat="1" ht="55.5" customHeight="1">
      <c r="A72" s="26" t="s">
        <v>317</v>
      </c>
      <c r="B72" s="73" t="s">
        <v>605</v>
      </c>
      <c r="C72" s="31" t="s">
        <v>87</v>
      </c>
      <c r="D72" s="27">
        <v>5</v>
      </c>
      <c r="E72" s="18"/>
      <c r="F72" s="18">
        <f t="shared" si="4"/>
        <v>0</v>
      </c>
    </row>
    <row r="73" spans="1:6" s="16" customFormat="1" ht="47.25">
      <c r="A73" s="26" t="s">
        <v>201</v>
      </c>
      <c r="B73" s="73" t="s">
        <v>609</v>
      </c>
      <c r="C73" s="31" t="s">
        <v>87</v>
      </c>
      <c r="D73" s="27">
        <f>0.03*1000</f>
        <v>30</v>
      </c>
      <c r="E73" s="18"/>
      <c r="F73" s="18">
        <f>ROUND(D73*E73,2)</f>
        <v>0</v>
      </c>
    </row>
    <row r="74" spans="1:6" s="16" customFormat="1" ht="63">
      <c r="A74" s="26" t="s">
        <v>318</v>
      </c>
      <c r="B74" s="73" t="s">
        <v>608</v>
      </c>
      <c r="C74" s="31" t="s">
        <v>87</v>
      </c>
      <c r="D74" s="27">
        <v>30</v>
      </c>
      <c r="E74" s="18"/>
      <c r="F74" s="18">
        <f>ROUND(D74*E74,2)</f>
        <v>0</v>
      </c>
    </row>
    <row r="75" spans="1:6" s="16" customFormat="1" ht="31.5">
      <c r="A75" s="26" t="s">
        <v>319</v>
      </c>
      <c r="B75" s="73" t="s">
        <v>607</v>
      </c>
      <c r="C75" s="31" t="s">
        <v>89</v>
      </c>
      <c r="D75" s="27">
        <v>1</v>
      </c>
      <c r="E75" s="18"/>
      <c r="F75" s="18">
        <f>ROUND(D75*E75,2)</f>
        <v>0</v>
      </c>
    </row>
    <row r="76" spans="1:6" s="16" customFormat="1">
      <c r="A76" s="26" t="s">
        <v>320</v>
      </c>
      <c r="B76" s="73" t="s">
        <v>606</v>
      </c>
      <c r="C76" s="31" t="s">
        <v>89</v>
      </c>
      <c r="D76" s="27">
        <v>1</v>
      </c>
      <c r="E76" s="18"/>
      <c r="F76" s="18">
        <f>ROUND(D76*E76,2)</f>
        <v>0</v>
      </c>
    </row>
    <row r="77" spans="1:6" s="16" customFormat="1" ht="18.75" customHeight="1">
      <c r="A77" s="89" t="s">
        <v>34</v>
      </c>
      <c r="B77" s="91" t="s">
        <v>980</v>
      </c>
      <c r="C77" s="89"/>
      <c r="D77" s="89"/>
      <c r="E77" s="89"/>
      <c r="F77" s="89"/>
    </row>
    <row r="78" spans="1:6" s="16" customFormat="1" ht="86.25" customHeight="1">
      <c r="A78" s="26" t="s">
        <v>928</v>
      </c>
      <c r="B78" s="73" t="s">
        <v>604</v>
      </c>
      <c r="C78" s="31" t="s">
        <v>87</v>
      </c>
      <c r="D78" s="27">
        <f>0.008*1000</f>
        <v>8</v>
      </c>
      <c r="E78" s="18"/>
      <c r="F78" s="18">
        <f>ROUND(D78*E78,2)</f>
        <v>0</v>
      </c>
    </row>
    <row r="79" spans="1:6" s="16" customFormat="1" ht="55.5" customHeight="1">
      <c r="A79" s="26" t="s">
        <v>929</v>
      </c>
      <c r="B79" s="73" t="s">
        <v>605</v>
      </c>
      <c r="C79" s="31" t="s">
        <v>87</v>
      </c>
      <c r="D79" s="27">
        <f>0.008*1000</f>
        <v>8</v>
      </c>
      <c r="E79" s="18"/>
      <c r="F79" s="18">
        <f t="shared" ref="F79:F119" si="5">ROUND(D79*E79,2)</f>
        <v>0</v>
      </c>
    </row>
    <row r="80" spans="1:6" s="16" customFormat="1" ht="20.45" customHeight="1">
      <c r="A80" s="89" t="s">
        <v>35</v>
      </c>
      <c r="B80" s="91" t="s">
        <v>981</v>
      </c>
      <c r="C80" s="89"/>
      <c r="D80" s="89"/>
      <c r="E80" s="89"/>
      <c r="F80" s="89"/>
    </row>
    <row r="81" spans="1:6" s="16" customFormat="1" ht="78.75">
      <c r="A81" s="26" t="s">
        <v>932</v>
      </c>
      <c r="B81" s="73" t="s">
        <v>610</v>
      </c>
      <c r="C81" s="31" t="s">
        <v>89</v>
      </c>
      <c r="D81" s="27">
        <v>1</v>
      </c>
      <c r="E81" s="18"/>
      <c r="F81" s="18">
        <f t="shared" si="5"/>
        <v>0</v>
      </c>
    </row>
    <row r="82" spans="1:6" s="16" customFormat="1" ht="63">
      <c r="A82" s="26" t="s">
        <v>933</v>
      </c>
      <c r="B82" s="73" t="s">
        <v>611</v>
      </c>
      <c r="C82" s="31" t="s">
        <v>89</v>
      </c>
      <c r="D82" s="27">
        <v>2</v>
      </c>
      <c r="E82" s="18"/>
      <c r="F82" s="18">
        <f t="shared" si="5"/>
        <v>0</v>
      </c>
    </row>
    <row r="83" spans="1:6" s="16" customFormat="1" ht="94.5">
      <c r="A83" s="26" t="s">
        <v>934</v>
      </c>
      <c r="B83" s="73" t="s">
        <v>612</v>
      </c>
      <c r="C83" s="31" t="s">
        <v>87</v>
      </c>
      <c r="D83" s="27">
        <v>5</v>
      </c>
      <c r="E83" s="18"/>
      <c r="F83" s="18">
        <f t="shared" si="5"/>
        <v>0</v>
      </c>
    </row>
    <row r="84" spans="1:6" s="16" customFormat="1" ht="55.5" customHeight="1">
      <c r="A84" s="26" t="s">
        <v>935</v>
      </c>
      <c r="B84" s="73" t="s">
        <v>817</v>
      </c>
      <c r="C84" s="31" t="s">
        <v>87</v>
      </c>
      <c r="D84" s="27">
        <v>5</v>
      </c>
      <c r="E84" s="18"/>
      <c r="F84" s="18">
        <f t="shared" si="5"/>
        <v>0</v>
      </c>
    </row>
    <row r="85" spans="1:6" s="16" customFormat="1" ht="63">
      <c r="A85" s="26" t="s">
        <v>936</v>
      </c>
      <c r="B85" s="73" t="s">
        <v>613</v>
      </c>
      <c r="C85" s="31" t="s">
        <v>87</v>
      </c>
      <c r="D85" s="27">
        <v>193.393</v>
      </c>
      <c r="E85" s="18"/>
      <c r="F85" s="18">
        <f t="shared" si="5"/>
        <v>0</v>
      </c>
    </row>
    <row r="86" spans="1:6" ht="19.5" customHeight="1">
      <c r="A86" s="171"/>
      <c r="B86" s="172" t="s">
        <v>17</v>
      </c>
      <c r="C86" s="173"/>
      <c r="D86" s="174"/>
      <c r="E86" s="139"/>
      <c r="F86" s="139">
        <f>SUM(F53:F85)</f>
        <v>0</v>
      </c>
    </row>
    <row r="87" spans="1:6" s="16" customFormat="1" ht="42" customHeight="1">
      <c r="A87" s="89" t="s">
        <v>93</v>
      </c>
      <c r="B87" s="91" t="s">
        <v>1014</v>
      </c>
      <c r="C87" s="89"/>
      <c r="D87" s="89"/>
      <c r="E87" s="89"/>
      <c r="F87" s="89"/>
    </row>
    <row r="88" spans="1:6" s="16" customFormat="1" ht="18.75" customHeight="1">
      <c r="A88" s="89" t="s">
        <v>54</v>
      </c>
      <c r="B88" s="92" t="s">
        <v>129</v>
      </c>
      <c r="C88" s="89"/>
      <c r="D88" s="89"/>
      <c r="E88" s="89"/>
      <c r="F88" s="89"/>
    </row>
    <row r="89" spans="1:6" s="16" customFormat="1" ht="123.6" customHeight="1">
      <c r="A89" s="26" t="s">
        <v>894</v>
      </c>
      <c r="B89" s="73" t="s">
        <v>368</v>
      </c>
      <c r="C89" s="31" t="s">
        <v>86</v>
      </c>
      <c r="D89" s="27">
        <f>0.016731*1000</f>
        <v>16.730999999999998</v>
      </c>
      <c r="E89" s="18"/>
      <c r="F89" s="18">
        <f t="shared" si="5"/>
        <v>0</v>
      </c>
    </row>
    <row r="90" spans="1:6" s="16" customFormat="1" ht="63">
      <c r="A90" s="26" t="s">
        <v>895</v>
      </c>
      <c r="B90" s="73" t="s">
        <v>369</v>
      </c>
      <c r="C90" s="31" t="s">
        <v>88</v>
      </c>
      <c r="D90" s="27">
        <f>26.7696</f>
        <v>26.769600000000001</v>
      </c>
      <c r="E90" s="18"/>
      <c r="F90" s="18">
        <f t="shared" si="5"/>
        <v>0</v>
      </c>
    </row>
    <row r="91" spans="1:6" s="16" customFormat="1" ht="78.75">
      <c r="A91" s="26" t="s">
        <v>896</v>
      </c>
      <c r="B91" s="73" t="s">
        <v>171</v>
      </c>
      <c r="C91" s="31" t="s">
        <v>86</v>
      </c>
      <c r="D91" s="27">
        <f>0.177178*1000</f>
        <v>177.178</v>
      </c>
      <c r="E91" s="18"/>
      <c r="F91" s="18">
        <f t="shared" si="5"/>
        <v>0</v>
      </c>
    </row>
    <row r="92" spans="1:6" s="16" customFormat="1" ht="31.5">
      <c r="A92" s="26" t="s">
        <v>897</v>
      </c>
      <c r="B92" s="73" t="s">
        <v>162</v>
      </c>
      <c r="C92" s="31" t="s">
        <v>86</v>
      </c>
      <c r="D92" s="27">
        <f>0.09696*100</f>
        <v>9.6959999999999997</v>
      </c>
      <c r="E92" s="18"/>
      <c r="F92" s="18">
        <f t="shared" si="5"/>
        <v>0</v>
      </c>
    </row>
    <row r="93" spans="1:6" s="16" customFormat="1" ht="78.75">
      <c r="A93" s="26" t="s">
        <v>898</v>
      </c>
      <c r="B93" s="73" t="s">
        <v>358</v>
      </c>
      <c r="C93" s="31" t="s">
        <v>86</v>
      </c>
      <c r="D93" s="27">
        <f>0.15946*1000</f>
        <v>159.45999999999998</v>
      </c>
      <c r="E93" s="18"/>
      <c r="F93" s="18">
        <f t="shared" si="5"/>
        <v>0</v>
      </c>
    </row>
    <row r="94" spans="1:6" s="16" customFormat="1" ht="47.25">
      <c r="A94" s="26" t="s">
        <v>899</v>
      </c>
      <c r="B94" s="73" t="s">
        <v>130</v>
      </c>
      <c r="C94" s="31" t="s">
        <v>86</v>
      </c>
      <c r="D94" s="27">
        <v>159.46</v>
      </c>
      <c r="E94" s="18"/>
      <c r="F94" s="18">
        <f t="shared" si="5"/>
        <v>0</v>
      </c>
    </row>
    <row r="95" spans="1:6" s="16" customFormat="1" ht="31.5">
      <c r="A95" s="26" t="s">
        <v>900</v>
      </c>
      <c r="B95" s="73" t="s">
        <v>173</v>
      </c>
      <c r="C95" s="31" t="s">
        <v>86</v>
      </c>
      <c r="D95" s="27">
        <v>17.7178</v>
      </c>
      <c r="E95" s="18"/>
      <c r="F95" s="18">
        <f t="shared" si="5"/>
        <v>0</v>
      </c>
    </row>
    <row r="96" spans="1:6" s="16" customFormat="1" ht="18.75" customHeight="1">
      <c r="A96" s="89" t="s">
        <v>55</v>
      </c>
      <c r="B96" s="92" t="s">
        <v>348</v>
      </c>
      <c r="C96" s="89"/>
      <c r="D96" s="89"/>
      <c r="E96" s="89"/>
      <c r="F96" s="89"/>
    </row>
    <row r="97" spans="1:6" s="16" customFormat="1" ht="31.5">
      <c r="A97" s="26" t="s">
        <v>901</v>
      </c>
      <c r="B97" s="73" t="s">
        <v>131</v>
      </c>
      <c r="C97" s="31" t="s">
        <v>86</v>
      </c>
      <c r="D97" s="27">
        <f>0.5304</f>
        <v>0.53039999999999998</v>
      </c>
      <c r="E97" s="18"/>
      <c r="F97" s="18">
        <f t="shared" si="5"/>
        <v>0</v>
      </c>
    </row>
    <row r="98" spans="1:6" s="16" customFormat="1" ht="47.25">
      <c r="A98" s="26" t="s">
        <v>902</v>
      </c>
      <c r="B98" s="120" t="s">
        <v>615</v>
      </c>
      <c r="C98" s="31" t="s">
        <v>86</v>
      </c>
      <c r="D98" s="31">
        <v>0.66990000000000005</v>
      </c>
      <c r="E98" s="18"/>
      <c r="F98" s="18">
        <f t="shared" si="5"/>
        <v>0</v>
      </c>
    </row>
    <row r="99" spans="1:6" s="16" customFormat="1" ht="31.5">
      <c r="A99" s="26" t="s">
        <v>903</v>
      </c>
      <c r="B99" s="73" t="s">
        <v>124</v>
      </c>
      <c r="C99" s="31" t="s">
        <v>88</v>
      </c>
      <c r="D99" s="27">
        <v>7.9549999999999996E-2</v>
      </c>
      <c r="E99" s="18"/>
      <c r="F99" s="18">
        <f t="shared" si="5"/>
        <v>0</v>
      </c>
    </row>
    <row r="100" spans="1:6" s="16" customFormat="1" ht="31.5">
      <c r="A100" s="26" t="s">
        <v>904</v>
      </c>
      <c r="B100" s="73" t="s">
        <v>614</v>
      </c>
      <c r="C100" s="31" t="s">
        <v>88</v>
      </c>
      <c r="D100" s="27">
        <v>5.3269999999999998E-2</v>
      </c>
      <c r="E100" s="18"/>
      <c r="F100" s="18">
        <f t="shared" si="5"/>
        <v>0</v>
      </c>
    </row>
    <row r="101" spans="1:6" s="16" customFormat="1" ht="18.75" customHeight="1">
      <c r="A101" s="89" t="s">
        <v>56</v>
      </c>
      <c r="B101" s="92" t="s">
        <v>616</v>
      </c>
      <c r="C101" s="89"/>
      <c r="D101" s="89"/>
      <c r="E101" s="89"/>
      <c r="F101" s="89"/>
    </row>
    <row r="102" spans="1:6" s="16" customFormat="1" ht="47.25">
      <c r="A102" s="26" t="s">
        <v>910</v>
      </c>
      <c r="B102" s="73" t="s">
        <v>617</v>
      </c>
      <c r="C102" s="31" t="s">
        <v>86</v>
      </c>
      <c r="D102" s="27">
        <v>4.0392000000000001</v>
      </c>
      <c r="E102" s="18"/>
      <c r="F102" s="18">
        <f t="shared" si="5"/>
        <v>0</v>
      </c>
    </row>
    <row r="103" spans="1:6" s="16" customFormat="1" ht="29.25" customHeight="1">
      <c r="A103" s="21"/>
      <c r="B103" s="94" t="s">
        <v>177</v>
      </c>
      <c r="C103" s="21"/>
      <c r="D103" s="90"/>
      <c r="E103" s="21"/>
      <c r="F103" s="21"/>
    </row>
    <row r="104" spans="1:6" s="16" customFormat="1" ht="19.5" customHeight="1">
      <c r="A104" s="26" t="s">
        <v>911</v>
      </c>
      <c r="B104" s="73" t="s">
        <v>125</v>
      </c>
      <c r="C104" s="31" t="s">
        <v>88</v>
      </c>
      <c r="D104" s="27">
        <f>0.01064</f>
        <v>1.064E-2</v>
      </c>
      <c r="E104" s="18"/>
      <c r="F104" s="18">
        <f t="shared" ref="F104" si="6">ROUND(D104*E104,2)</f>
        <v>0</v>
      </c>
    </row>
    <row r="105" spans="1:6" s="16" customFormat="1" ht="21" customHeight="1">
      <c r="A105" s="26" t="s">
        <v>912</v>
      </c>
      <c r="B105" s="73" t="s">
        <v>126</v>
      </c>
      <c r="C105" s="31" t="s">
        <v>88</v>
      </c>
      <c r="D105" s="27">
        <f>0.28764+0.18744</f>
        <v>0.47508</v>
      </c>
      <c r="E105" s="18"/>
      <c r="F105" s="18">
        <f>ROUND(D105*E105,2)</f>
        <v>0</v>
      </c>
    </row>
    <row r="106" spans="1:6" s="16" customFormat="1">
      <c r="A106" s="26" t="s">
        <v>913</v>
      </c>
      <c r="B106" s="73" t="s">
        <v>359</v>
      </c>
      <c r="C106" s="31" t="s">
        <v>91</v>
      </c>
      <c r="D106" s="27">
        <f>0.2728*100</f>
        <v>27.279999999999998</v>
      </c>
      <c r="E106" s="18"/>
      <c r="F106" s="18">
        <f t="shared" si="5"/>
        <v>0</v>
      </c>
    </row>
    <row r="107" spans="1:6" s="16" customFormat="1" ht="21" customHeight="1">
      <c r="A107" s="26" t="s">
        <v>914</v>
      </c>
      <c r="B107" s="73" t="s">
        <v>875</v>
      </c>
      <c r="C107" s="31" t="s">
        <v>91</v>
      </c>
      <c r="D107" s="27">
        <v>27.28</v>
      </c>
      <c r="E107" s="18"/>
      <c r="F107" s="18">
        <f t="shared" si="5"/>
        <v>0</v>
      </c>
    </row>
    <row r="108" spans="1:6" s="16" customFormat="1" ht="21.75" customHeight="1">
      <c r="A108" s="21"/>
      <c r="B108" s="35" t="s">
        <v>187</v>
      </c>
      <c r="C108" s="21"/>
      <c r="D108" s="90"/>
      <c r="E108" s="21"/>
      <c r="F108" s="21"/>
    </row>
    <row r="109" spans="1:6" s="16" customFormat="1" ht="47.25">
      <c r="A109" s="26" t="s">
        <v>915</v>
      </c>
      <c r="B109" s="73" t="s">
        <v>186</v>
      </c>
      <c r="C109" s="31" t="s">
        <v>86</v>
      </c>
      <c r="D109" s="27">
        <v>3.6720000000000003E-2</v>
      </c>
      <c r="E109" s="18"/>
      <c r="F109" s="18">
        <f t="shared" si="5"/>
        <v>0</v>
      </c>
    </row>
    <row r="110" spans="1:6" s="16" customFormat="1" ht="18.75" customHeight="1">
      <c r="A110" s="89" t="s">
        <v>57</v>
      </c>
      <c r="B110" s="91" t="s">
        <v>618</v>
      </c>
      <c r="C110" s="89"/>
      <c r="D110" s="89"/>
      <c r="E110" s="89"/>
      <c r="F110" s="89"/>
    </row>
    <row r="111" spans="1:6" s="16" customFormat="1" ht="31.5">
      <c r="A111" s="26" t="s">
        <v>990</v>
      </c>
      <c r="B111" s="73" t="s">
        <v>184</v>
      </c>
      <c r="C111" s="31" t="s">
        <v>88</v>
      </c>
      <c r="D111" s="27">
        <v>5.5960000000000003E-2</v>
      </c>
      <c r="E111" s="18"/>
      <c r="F111" s="18">
        <f t="shared" si="5"/>
        <v>0</v>
      </c>
    </row>
    <row r="112" spans="1:6" s="16" customFormat="1" ht="31.5">
      <c r="A112" s="26" t="s">
        <v>991</v>
      </c>
      <c r="B112" s="73" t="s">
        <v>619</v>
      </c>
      <c r="C112" s="31" t="s">
        <v>91</v>
      </c>
      <c r="D112" s="27">
        <f>0.012871*100</f>
        <v>1.2871000000000001</v>
      </c>
      <c r="E112" s="18"/>
      <c r="F112" s="18">
        <f t="shared" si="5"/>
        <v>0</v>
      </c>
    </row>
    <row r="113" spans="1:6" s="16" customFormat="1" ht="47.25">
      <c r="A113" s="26" t="s">
        <v>992</v>
      </c>
      <c r="B113" s="73" t="s">
        <v>182</v>
      </c>
      <c r="C113" s="31" t="s">
        <v>91</v>
      </c>
      <c r="D113" s="27">
        <f>0.012871*100</f>
        <v>1.2871000000000001</v>
      </c>
      <c r="E113" s="18"/>
      <c r="F113" s="18">
        <f t="shared" si="5"/>
        <v>0</v>
      </c>
    </row>
    <row r="114" spans="1:6" s="16" customFormat="1" ht="18.75" customHeight="1">
      <c r="A114" s="89" t="s">
        <v>58</v>
      </c>
      <c r="B114" s="91" t="s">
        <v>620</v>
      </c>
      <c r="C114" s="89"/>
      <c r="D114" s="89"/>
      <c r="E114" s="89"/>
      <c r="F114" s="89"/>
    </row>
    <row r="115" spans="1:6" s="16" customFormat="1" ht="31.5">
      <c r="A115" s="26" t="s">
        <v>993</v>
      </c>
      <c r="B115" s="73" t="s">
        <v>183</v>
      </c>
      <c r="C115" s="31" t="s">
        <v>86</v>
      </c>
      <c r="D115" s="27">
        <v>0.73080000000000001</v>
      </c>
      <c r="E115" s="18"/>
      <c r="F115" s="18">
        <f t="shared" si="5"/>
        <v>0</v>
      </c>
    </row>
    <row r="116" spans="1:6" s="16" customFormat="1" ht="21" customHeight="1">
      <c r="A116" s="26" t="s">
        <v>994</v>
      </c>
      <c r="B116" s="73" t="s">
        <v>126</v>
      </c>
      <c r="C116" s="31" t="s">
        <v>88</v>
      </c>
      <c r="D116" s="27">
        <v>0.1042</v>
      </c>
      <c r="E116" s="18"/>
      <c r="F116" s="18">
        <f>ROUND(D116*E116,2)</f>
        <v>0</v>
      </c>
    </row>
    <row r="117" spans="1:6" s="16" customFormat="1" ht="19.5" customHeight="1">
      <c r="A117" s="26" t="s">
        <v>995</v>
      </c>
      <c r="B117" s="73" t="s">
        <v>125</v>
      </c>
      <c r="C117" s="31" t="s">
        <v>88</v>
      </c>
      <c r="D117" s="27">
        <v>1.74E-3</v>
      </c>
      <c r="E117" s="18"/>
      <c r="F117" s="18">
        <f t="shared" si="5"/>
        <v>0</v>
      </c>
    </row>
    <row r="118" spans="1:6" s="16" customFormat="1" ht="31.5">
      <c r="A118" s="26" t="s">
        <v>996</v>
      </c>
      <c r="B118" s="73" t="s">
        <v>184</v>
      </c>
      <c r="C118" s="31" t="s">
        <v>88</v>
      </c>
      <c r="D118" s="27">
        <v>1.3950000000000001E-2</v>
      </c>
      <c r="E118" s="18"/>
      <c r="F118" s="18">
        <f t="shared" si="5"/>
        <v>0</v>
      </c>
    </row>
    <row r="119" spans="1:6" s="16" customFormat="1">
      <c r="A119" s="26" t="s">
        <v>997</v>
      </c>
      <c r="B119" s="73" t="s">
        <v>185</v>
      </c>
      <c r="C119" s="31" t="s">
        <v>89</v>
      </c>
      <c r="D119" s="27">
        <v>1</v>
      </c>
      <c r="E119" s="18"/>
      <c r="F119" s="18">
        <f t="shared" si="5"/>
        <v>0</v>
      </c>
    </row>
    <row r="120" spans="1:6" ht="19.5" customHeight="1">
      <c r="A120" s="171"/>
      <c r="B120" s="172" t="s">
        <v>17</v>
      </c>
      <c r="C120" s="173"/>
      <c r="D120" s="174"/>
      <c r="E120" s="139"/>
      <c r="F120" s="139">
        <f>SUM(F89:F119)</f>
        <v>0</v>
      </c>
    </row>
    <row r="121" spans="1:6" s="16" customFormat="1" ht="29.25" customHeight="1">
      <c r="A121" s="89" t="s">
        <v>141</v>
      </c>
      <c r="B121" s="91" t="s">
        <v>927</v>
      </c>
      <c r="C121" s="89"/>
      <c r="D121" s="89"/>
      <c r="E121" s="89"/>
      <c r="F121" s="89"/>
    </row>
    <row r="122" spans="1:6" s="16" customFormat="1" ht="18.75" customHeight="1">
      <c r="A122" s="89" t="s">
        <v>63</v>
      </c>
      <c r="B122" s="92" t="s">
        <v>129</v>
      </c>
      <c r="C122" s="89"/>
      <c r="D122" s="89"/>
      <c r="E122" s="89"/>
      <c r="F122" s="89"/>
    </row>
    <row r="123" spans="1:6" s="16" customFormat="1" ht="47.25">
      <c r="A123" s="26" t="s">
        <v>998</v>
      </c>
      <c r="B123" s="73" t="s">
        <v>622</v>
      </c>
      <c r="C123" s="31" t="s">
        <v>86</v>
      </c>
      <c r="D123" s="27">
        <f>18</f>
        <v>18</v>
      </c>
      <c r="E123" s="18"/>
      <c r="F123" s="18">
        <f>ROUND(D123*E123,2)</f>
        <v>0</v>
      </c>
    </row>
    <row r="124" spans="1:6" s="16" customFormat="1" ht="31.5">
      <c r="A124" s="26" t="s">
        <v>999</v>
      </c>
      <c r="B124" s="73" t="s">
        <v>623</v>
      </c>
      <c r="C124" s="31" t="s">
        <v>86</v>
      </c>
      <c r="D124" s="27">
        <f>0.02*100</f>
        <v>2</v>
      </c>
      <c r="E124" s="18"/>
      <c r="F124" s="18">
        <f t="shared" ref="F124:F130" si="7">ROUND(D124*E124,2)</f>
        <v>0</v>
      </c>
    </row>
    <row r="125" spans="1:6" s="16" customFormat="1" ht="31.5">
      <c r="A125" s="26" t="s">
        <v>1000</v>
      </c>
      <c r="B125" s="73" t="s">
        <v>624</v>
      </c>
      <c r="C125" s="31" t="s">
        <v>86</v>
      </c>
      <c r="D125" s="27">
        <f>0.16*100</f>
        <v>16</v>
      </c>
      <c r="E125" s="18"/>
      <c r="F125" s="18">
        <f t="shared" si="7"/>
        <v>0</v>
      </c>
    </row>
    <row r="126" spans="1:6" s="16" customFormat="1" ht="47.25">
      <c r="A126" s="26" t="s">
        <v>1001</v>
      </c>
      <c r="B126" s="73" t="s">
        <v>519</v>
      </c>
      <c r="C126" s="31" t="s">
        <v>86</v>
      </c>
      <c r="D126" s="27">
        <f>0.00525*100</f>
        <v>0.52500000000000002</v>
      </c>
      <c r="E126" s="18"/>
      <c r="F126" s="18">
        <f t="shared" si="7"/>
        <v>0</v>
      </c>
    </row>
    <row r="127" spans="1:6" s="16" customFormat="1" ht="47.25">
      <c r="A127" s="26" t="s">
        <v>1002</v>
      </c>
      <c r="B127" s="73" t="s">
        <v>516</v>
      </c>
      <c r="C127" s="31" t="s">
        <v>88</v>
      </c>
      <c r="D127" s="27">
        <v>0.43980000000000002</v>
      </c>
      <c r="E127" s="18"/>
      <c r="F127" s="18">
        <f t="shared" si="7"/>
        <v>0</v>
      </c>
    </row>
    <row r="128" spans="1:6" s="16" customFormat="1" ht="63">
      <c r="A128" s="26" t="s">
        <v>1003</v>
      </c>
      <c r="B128" s="73" t="s">
        <v>625</v>
      </c>
      <c r="C128" s="31" t="s">
        <v>86</v>
      </c>
      <c r="D128" s="27">
        <v>2</v>
      </c>
      <c r="E128" s="18"/>
      <c r="F128" s="18">
        <f t="shared" si="7"/>
        <v>0</v>
      </c>
    </row>
    <row r="129" spans="1:6" s="16" customFormat="1" ht="31.5">
      <c r="A129" s="26" t="s">
        <v>1004</v>
      </c>
      <c r="B129" s="73" t="s">
        <v>518</v>
      </c>
      <c r="C129" s="31" t="s">
        <v>88</v>
      </c>
      <c r="D129" s="27">
        <v>3.2</v>
      </c>
      <c r="E129" s="18"/>
      <c r="F129" s="18">
        <f t="shared" si="7"/>
        <v>0</v>
      </c>
    </row>
    <row r="130" spans="1:6" s="16" customFormat="1" ht="31.5">
      <c r="A130" s="26" t="s">
        <v>1005</v>
      </c>
      <c r="B130" s="73" t="s">
        <v>517</v>
      </c>
      <c r="C130" s="31" t="s">
        <v>88</v>
      </c>
      <c r="D130" s="27">
        <v>3.3</v>
      </c>
      <c r="E130" s="18"/>
      <c r="F130" s="18">
        <f t="shared" si="7"/>
        <v>0</v>
      </c>
    </row>
    <row r="131" spans="1:6" s="16" customFormat="1" ht="31.5">
      <c r="A131" s="89" t="s">
        <v>64</v>
      </c>
      <c r="B131" s="92" t="s">
        <v>144</v>
      </c>
      <c r="C131" s="30"/>
      <c r="D131" s="33"/>
      <c r="E131" s="30"/>
      <c r="F131" s="30"/>
    </row>
    <row r="132" spans="1:6" s="16" customFormat="1" ht="47.25">
      <c r="A132" s="26" t="s">
        <v>1006</v>
      </c>
      <c r="B132" s="73" t="s">
        <v>520</v>
      </c>
      <c r="C132" s="31" t="s">
        <v>89</v>
      </c>
      <c r="D132" s="27">
        <v>7</v>
      </c>
      <c r="E132" s="18"/>
      <c r="F132" s="18">
        <f t="shared" ref="F132:F139" si="8">ROUND(D132*E132,2)</f>
        <v>0</v>
      </c>
    </row>
    <row r="133" spans="1:6" s="16" customFormat="1" ht="31.5">
      <c r="A133" s="26" t="s">
        <v>1007</v>
      </c>
      <c r="B133" s="73" t="s">
        <v>521</v>
      </c>
      <c r="C133" s="31" t="s">
        <v>89</v>
      </c>
      <c r="D133" s="27">
        <v>7</v>
      </c>
      <c r="E133" s="18"/>
      <c r="F133" s="18">
        <f t="shared" si="8"/>
        <v>0</v>
      </c>
    </row>
    <row r="134" spans="1:6" s="16" customFormat="1" ht="31.5">
      <c r="A134" s="26" t="s">
        <v>1008</v>
      </c>
      <c r="B134" s="73" t="s">
        <v>627</v>
      </c>
      <c r="C134" s="31" t="s">
        <v>87</v>
      </c>
      <c r="D134" s="27">
        <v>10</v>
      </c>
      <c r="E134" s="18"/>
      <c r="F134" s="18">
        <f t="shared" si="8"/>
        <v>0</v>
      </c>
    </row>
    <row r="135" spans="1:6" s="16" customFormat="1" ht="31.5">
      <c r="A135" s="26" t="s">
        <v>1009</v>
      </c>
      <c r="B135" s="73" t="s">
        <v>626</v>
      </c>
      <c r="C135" s="31" t="s">
        <v>87</v>
      </c>
      <c r="D135" s="27">
        <v>95</v>
      </c>
      <c r="E135" s="18"/>
      <c r="F135" s="18">
        <f t="shared" si="8"/>
        <v>0</v>
      </c>
    </row>
    <row r="136" spans="1:6" s="16" customFormat="1" ht="31.5">
      <c r="A136" s="26" t="s">
        <v>1010</v>
      </c>
      <c r="B136" s="73" t="s">
        <v>525</v>
      </c>
      <c r="C136" s="31" t="s">
        <v>87</v>
      </c>
      <c r="D136" s="27">
        <v>30</v>
      </c>
      <c r="E136" s="18"/>
      <c r="F136" s="18">
        <f t="shared" si="8"/>
        <v>0</v>
      </c>
    </row>
    <row r="137" spans="1:6" s="16" customFormat="1" ht="31.5">
      <c r="A137" s="26" t="s">
        <v>1011</v>
      </c>
      <c r="B137" s="73" t="s">
        <v>526</v>
      </c>
      <c r="C137" s="31" t="s">
        <v>89</v>
      </c>
      <c r="D137" s="27">
        <v>7</v>
      </c>
      <c r="E137" s="18"/>
      <c r="F137" s="18">
        <f t="shared" si="8"/>
        <v>0</v>
      </c>
    </row>
    <row r="138" spans="1:6" s="16" customFormat="1" ht="47.25">
      <c r="A138" s="26" t="s">
        <v>1012</v>
      </c>
      <c r="B138" s="73" t="s">
        <v>527</v>
      </c>
      <c r="C138" s="31" t="s">
        <v>89</v>
      </c>
      <c r="D138" s="27">
        <v>2</v>
      </c>
      <c r="E138" s="18"/>
      <c r="F138" s="18">
        <f t="shared" si="8"/>
        <v>0</v>
      </c>
    </row>
    <row r="139" spans="1:6" s="16" customFormat="1" ht="31.5">
      <c r="A139" s="26" t="s">
        <v>1013</v>
      </c>
      <c r="B139" s="73" t="s">
        <v>528</v>
      </c>
      <c r="C139" s="31" t="s">
        <v>87</v>
      </c>
      <c r="D139" s="27">
        <v>100</v>
      </c>
      <c r="E139" s="18"/>
      <c r="F139" s="18">
        <f t="shared" si="8"/>
        <v>0</v>
      </c>
    </row>
    <row r="140" spans="1:6" ht="19.5" customHeight="1">
      <c r="A140" s="171"/>
      <c r="B140" s="172" t="s">
        <v>17</v>
      </c>
      <c r="C140" s="173"/>
      <c r="D140" s="174"/>
      <c r="E140" s="139"/>
      <c r="F140" s="139">
        <f>SUM(F123:F139)</f>
        <v>0</v>
      </c>
    </row>
    <row r="141" spans="1:6" s="145" customFormat="1" ht="20.85" customHeight="1">
      <c r="A141" s="152" t="s">
        <v>4</v>
      </c>
      <c r="B141" s="223" t="s">
        <v>7</v>
      </c>
      <c r="C141" s="223"/>
      <c r="D141" s="223"/>
      <c r="E141" s="223"/>
      <c r="F141" s="223"/>
    </row>
    <row r="142" spans="1:6" s="145" customFormat="1" ht="22.5" customHeight="1">
      <c r="A142" s="176">
        <v>1</v>
      </c>
      <c r="B142" s="224" t="str">
        <f>B6</f>
        <v>Сеточный ограждение / Mesh fencing</v>
      </c>
      <c r="C142" s="225"/>
      <c r="D142" s="225"/>
      <c r="E142" s="226"/>
      <c r="F142" s="180">
        <f>F50</f>
        <v>0</v>
      </c>
    </row>
    <row r="143" spans="1:6" s="145" customFormat="1" ht="37.5" customHeight="1">
      <c r="A143" s="176">
        <v>2</v>
      </c>
      <c r="B143" s="177" t="str">
        <f>B51</f>
        <v xml:space="preserve">Площадка НРР-зона 1.  Внутрипл. тех-кие труб-ды и колодцы 1,5х1,5х4,000  </v>
      </c>
      <c r="C143" s="178"/>
      <c r="D143" s="178"/>
      <c r="E143" s="179"/>
      <c r="F143" s="180">
        <f>F86</f>
        <v>0</v>
      </c>
    </row>
    <row r="144" spans="1:6" s="145" customFormat="1" ht="37.5" customHeight="1">
      <c r="A144" s="176">
        <v>3</v>
      </c>
      <c r="B144" s="177" t="str">
        <f>B87</f>
        <v xml:space="preserve"> Площадка НРР-зоны 1. Внутрипл.  тех-кие труб-ды  и Колодцы 1,5х1,5х1,8 / </v>
      </c>
      <c r="C144" s="178"/>
      <c r="D144" s="178"/>
      <c r="E144" s="179"/>
      <c r="F144" s="180">
        <f>F120</f>
        <v>0</v>
      </c>
    </row>
    <row r="145" spans="1:6" s="145" customFormat="1" ht="35.25" customHeight="1">
      <c r="A145" s="176">
        <v>4</v>
      </c>
      <c r="B145" s="177" t="str">
        <f>B121</f>
        <v xml:space="preserve"> Площадка НРР-зоны 1.Наружное электроснабжение  / Outdoor power supply</v>
      </c>
      <c r="C145" s="178"/>
      <c r="D145" s="178"/>
      <c r="E145" s="179"/>
      <c r="F145" s="180">
        <f>F140</f>
        <v>0</v>
      </c>
    </row>
    <row r="146" spans="1:6" s="145" customFormat="1" ht="20.85" customHeight="1">
      <c r="A146" s="152" t="s">
        <v>4</v>
      </c>
      <c r="B146" s="227" t="s">
        <v>8</v>
      </c>
      <c r="C146" s="227"/>
      <c r="D146" s="227"/>
      <c r="E146" s="227"/>
      <c r="F146" s="181">
        <f>SUM(F142:F145)</f>
        <v>0</v>
      </c>
    </row>
    <row r="147" spans="1:6" s="182" customFormat="1" ht="28.5" customHeight="1">
      <c r="A147" s="220" t="s">
        <v>9</v>
      </c>
      <c r="B147" s="220"/>
      <c r="C147" s="220"/>
      <c r="D147" s="220"/>
      <c r="E147" s="220"/>
      <c r="F147" s="220"/>
    </row>
    <row r="148" spans="1:6" s="182" customFormat="1" ht="194.45" customHeight="1">
      <c r="A148" s="220" t="s">
        <v>10</v>
      </c>
      <c r="B148" s="220"/>
      <c r="C148" s="220"/>
      <c r="D148" s="220"/>
      <c r="E148" s="220"/>
      <c r="F148" s="220"/>
    </row>
    <row r="149" spans="1:6" s="182" customFormat="1" ht="45.6" customHeight="1">
      <c r="A149" s="220" t="s">
        <v>11</v>
      </c>
      <c r="B149" s="220"/>
      <c r="C149" s="220"/>
      <c r="D149" s="220"/>
      <c r="E149" s="220"/>
      <c r="F149" s="220"/>
    </row>
    <row r="150" spans="1:6" s="182" customFormat="1" ht="169.35" customHeight="1">
      <c r="A150" s="220" t="s">
        <v>12</v>
      </c>
      <c r="B150" s="220"/>
      <c r="C150" s="220"/>
      <c r="D150" s="220"/>
      <c r="E150" s="220"/>
      <c r="F150" s="220"/>
    </row>
    <row r="151" spans="1:6" s="186" customFormat="1">
      <c r="A151" s="183"/>
      <c r="B151" s="184"/>
      <c r="C151" s="183"/>
      <c r="D151" s="185"/>
      <c r="E151" s="183"/>
      <c r="F151" s="183"/>
    </row>
    <row r="152" spans="1:6" s="186" customFormat="1">
      <c r="A152" s="183"/>
      <c r="B152" s="184"/>
      <c r="C152" s="183"/>
      <c r="D152" s="185"/>
      <c r="E152" s="183"/>
      <c r="F152" s="183"/>
    </row>
    <row r="153" spans="1:6" s="189" customFormat="1">
      <c r="A153" s="187"/>
      <c r="B153" s="188" t="s">
        <v>13</v>
      </c>
      <c r="C153" s="187"/>
      <c r="D153" s="185"/>
      <c r="E153" s="183"/>
      <c r="F153" s="183"/>
    </row>
    <row r="154" spans="1:6" s="189" customFormat="1">
      <c r="A154" s="187"/>
      <c r="B154" s="190" t="s">
        <v>14</v>
      </c>
      <c r="C154" s="187"/>
      <c r="D154" s="185"/>
      <c r="E154" s="183"/>
      <c r="F154" s="183"/>
    </row>
    <row r="155" spans="1:6" s="189" customFormat="1">
      <c r="A155" s="187"/>
      <c r="B155" s="190"/>
      <c r="C155" s="187"/>
      <c r="D155" s="185"/>
      <c r="E155" s="183"/>
      <c r="F155" s="183"/>
    </row>
    <row r="156" spans="1:6" s="189" customFormat="1">
      <c r="A156" s="187"/>
      <c r="B156" s="182"/>
      <c r="C156" s="187"/>
      <c r="D156" s="185"/>
      <c r="E156" s="183"/>
      <c r="F156" s="183"/>
    </row>
    <row r="157" spans="1:6" s="189" customFormat="1">
      <c r="A157" s="187"/>
      <c r="B157" s="182"/>
      <c r="C157" s="187"/>
      <c r="D157" s="185"/>
      <c r="E157" s="183"/>
      <c r="F157" s="183"/>
    </row>
    <row r="158" spans="1:6" s="189" customFormat="1">
      <c r="A158" s="187"/>
      <c r="B158" s="182" t="s">
        <v>15</v>
      </c>
      <c r="C158" s="187"/>
      <c r="D158" s="185"/>
      <c r="E158" s="183"/>
      <c r="F158" s="183"/>
    </row>
    <row r="159" spans="1:6" s="189" customFormat="1">
      <c r="A159" s="187"/>
      <c r="B159" s="182" t="s">
        <v>16</v>
      </c>
      <c r="C159" s="187"/>
      <c r="D159" s="185"/>
      <c r="E159" s="183"/>
      <c r="F159" s="183"/>
    </row>
  </sheetData>
  <protectedRanges>
    <protectedRange sqref="E4" name="Range1"/>
  </protectedRanges>
  <mergeCells count="9">
    <mergeCell ref="A147:F147"/>
    <mergeCell ref="A148:F148"/>
    <mergeCell ref="A149:F149"/>
    <mergeCell ref="A150:F150"/>
    <mergeCell ref="A2:F2"/>
    <mergeCell ref="A3:F3"/>
    <mergeCell ref="B141:F141"/>
    <mergeCell ref="B142:E142"/>
    <mergeCell ref="B146:E146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A5B0-8A8F-41E9-B42B-9C52F04C274E}">
  <sheetPr>
    <tabColor rgb="FF00B050"/>
  </sheetPr>
  <dimension ref="A1:F104"/>
  <sheetViews>
    <sheetView zoomScale="90" zoomScaleNormal="90" workbookViewId="0">
      <selection activeCell="F1" sqref="F1"/>
    </sheetView>
  </sheetViews>
  <sheetFormatPr defaultColWidth="8.85546875" defaultRowHeight="15.75"/>
  <cols>
    <col min="1" max="1" width="9.140625" style="22" customWidth="1"/>
    <col min="2" max="2" width="52.140625" style="25" customWidth="1"/>
    <col min="3" max="3" width="16.42578125" style="25" customWidth="1"/>
    <col min="4" max="4" width="16.42578125" style="29" customWidth="1"/>
    <col min="5" max="6" width="16.42578125" style="22" customWidth="1"/>
    <col min="7" max="16384" width="8.85546875" style="16"/>
  </cols>
  <sheetData>
    <row r="1" spans="1:6" s="2" customFormat="1" ht="20.45" customHeight="1">
      <c r="A1" s="65"/>
      <c r="B1" s="66"/>
      <c r="C1" s="65"/>
      <c r="D1" s="67"/>
      <c r="E1" s="68" t="s">
        <v>107</v>
      </c>
      <c r="F1" s="69"/>
    </row>
    <row r="2" spans="1:6" s="70" customFormat="1" ht="50.45" customHeight="1">
      <c r="A2" s="213" t="str">
        <f>SUM!A12</f>
        <v xml:space="preserve">ВЕДОМОСТЬ ОБЪЕМОВ РАБОТ / BILL OF QUANTITIES </v>
      </c>
      <c r="B2" s="213"/>
      <c r="C2" s="213"/>
      <c r="D2" s="213"/>
      <c r="E2" s="213"/>
      <c r="F2" s="213"/>
    </row>
    <row r="3" spans="1:6" s="36" customFormat="1" ht="54.75" customHeight="1">
      <c r="A3" s="214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14"/>
      <c r="C3" s="214"/>
      <c r="D3" s="214"/>
      <c r="E3" s="214"/>
      <c r="F3" s="214"/>
    </row>
    <row r="4" spans="1:6" s="2" customFormat="1" ht="64.349999999999994" customHeight="1">
      <c r="A4" s="71" t="s">
        <v>114</v>
      </c>
      <c r="B4" s="71" t="s">
        <v>92</v>
      </c>
      <c r="C4" s="71" t="s">
        <v>115</v>
      </c>
      <c r="D4" s="72" t="s">
        <v>116</v>
      </c>
      <c r="E4" s="87" t="s">
        <v>99</v>
      </c>
      <c r="F4" s="88" t="s">
        <v>100</v>
      </c>
    </row>
    <row r="5" spans="1:6" ht="21.75" customHeight="1">
      <c r="A5" s="89" t="s">
        <v>5</v>
      </c>
      <c r="B5" s="92" t="s">
        <v>157</v>
      </c>
      <c r="C5" s="30"/>
      <c r="D5" s="33"/>
      <c r="E5" s="30"/>
      <c r="F5" s="30"/>
    </row>
    <row r="6" spans="1:6" ht="21.75" customHeight="1">
      <c r="A6" s="89" t="s">
        <v>147</v>
      </c>
      <c r="B6" s="92" t="s">
        <v>129</v>
      </c>
      <c r="C6" s="30"/>
      <c r="D6" s="33"/>
      <c r="E6" s="30"/>
      <c r="F6" s="30"/>
    </row>
    <row r="7" spans="1:6" ht="78.75" customHeight="1">
      <c r="A7" s="26" t="s">
        <v>1</v>
      </c>
      <c r="B7" s="73" t="s">
        <v>171</v>
      </c>
      <c r="C7" s="31" t="s">
        <v>86</v>
      </c>
      <c r="D7" s="27">
        <f>0.41*1000</f>
        <v>410</v>
      </c>
      <c r="E7" s="18"/>
      <c r="F7" s="18">
        <f t="shared" ref="F7:F19" si="0">ROUND(D7*E7,2)</f>
        <v>0</v>
      </c>
    </row>
    <row r="8" spans="1:6" ht="31.5">
      <c r="A8" s="26" t="s">
        <v>18</v>
      </c>
      <c r="B8" s="73" t="s">
        <v>162</v>
      </c>
      <c r="C8" s="31" t="s">
        <v>86</v>
      </c>
      <c r="D8" s="27">
        <f>0.205*100</f>
        <v>20.5</v>
      </c>
      <c r="E8" s="18"/>
      <c r="F8" s="18">
        <f t="shared" si="0"/>
        <v>0</v>
      </c>
    </row>
    <row r="9" spans="1:6" ht="78.75">
      <c r="A9" s="26" t="s">
        <v>19</v>
      </c>
      <c r="B9" s="73" t="s">
        <v>628</v>
      </c>
      <c r="C9" s="31" t="s">
        <v>86</v>
      </c>
      <c r="D9" s="27">
        <f>0.41*1000</f>
        <v>410</v>
      </c>
      <c r="E9" s="18"/>
      <c r="F9" s="18">
        <f t="shared" si="0"/>
        <v>0</v>
      </c>
    </row>
    <row r="10" spans="1:6" ht="126">
      <c r="A10" s="26" t="s">
        <v>20</v>
      </c>
      <c r="B10" s="73" t="s">
        <v>360</v>
      </c>
      <c r="C10" s="31" t="s">
        <v>86</v>
      </c>
      <c r="D10" s="27">
        <f>0.19*1000</f>
        <v>190</v>
      </c>
      <c r="E10" s="18"/>
      <c r="F10" s="18">
        <f>ROUND(D10*E10,2)</f>
        <v>0</v>
      </c>
    </row>
    <row r="11" spans="1:6" ht="31.5">
      <c r="A11" s="26" t="s">
        <v>21</v>
      </c>
      <c r="B11" s="73" t="s">
        <v>122</v>
      </c>
      <c r="C11" s="31" t="s">
        <v>88</v>
      </c>
      <c r="D11" s="27">
        <v>232.1728</v>
      </c>
      <c r="E11" s="18"/>
      <c r="F11" s="18">
        <f>ROUND(D11*E11,2)</f>
        <v>0</v>
      </c>
    </row>
    <row r="12" spans="1:6" ht="78.75">
      <c r="A12" s="26" t="s">
        <v>22</v>
      </c>
      <c r="B12" s="73" t="s">
        <v>358</v>
      </c>
      <c r="C12" s="31" t="s">
        <v>86</v>
      </c>
      <c r="D12" s="27">
        <f>0.516825*1000</f>
        <v>516.82499999999993</v>
      </c>
      <c r="E12" s="18"/>
      <c r="F12" s="18">
        <f t="shared" si="0"/>
        <v>0</v>
      </c>
    </row>
    <row r="13" spans="1:6" ht="51" customHeight="1">
      <c r="A13" s="26" t="s">
        <v>23</v>
      </c>
      <c r="B13" s="73" t="s">
        <v>164</v>
      </c>
      <c r="C13" s="31" t="s">
        <v>86</v>
      </c>
      <c r="D13" s="27">
        <v>516.82500000000005</v>
      </c>
      <c r="E13" s="18"/>
      <c r="F13" s="18">
        <f t="shared" si="0"/>
        <v>0</v>
      </c>
    </row>
    <row r="14" spans="1:6" ht="31.5">
      <c r="A14" s="26" t="s">
        <v>24</v>
      </c>
      <c r="B14" s="73" t="s">
        <v>173</v>
      </c>
      <c r="C14" s="31" t="s">
        <v>86</v>
      </c>
      <c r="D14" s="27">
        <v>57.424999999999997</v>
      </c>
      <c r="E14" s="18"/>
      <c r="F14" s="18">
        <f t="shared" si="0"/>
        <v>0</v>
      </c>
    </row>
    <row r="15" spans="1:6">
      <c r="A15" s="26" t="s">
        <v>26</v>
      </c>
      <c r="B15" s="73" t="s">
        <v>629</v>
      </c>
      <c r="C15" s="31" t="s">
        <v>86</v>
      </c>
      <c r="D15" s="27">
        <v>11</v>
      </c>
      <c r="E15" s="18"/>
      <c r="F15" s="18">
        <f t="shared" si="0"/>
        <v>0</v>
      </c>
    </row>
    <row r="16" spans="1:6">
      <c r="A16" s="23"/>
      <c r="B16" s="32" t="s">
        <v>17</v>
      </c>
      <c r="C16" s="19"/>
      <c r="D16" s="28"/>
      <c r="E16" s="20"/>
      <c r="F16" s="20">
        <f>SUM(F7:F15)</f>
        <v>0</v>
      </c>
    </row>
    <row r="17" spans="1:6" ht="22.5" customHeight="1">
      <c r="A17" s="89" t="s">
        <v>139</v>
      </c>
      <c r="B17" s="92" t="s">
        <v>140</v>
      </c>
      <c r="C17" s="30"/>
      <c r="D17" s="33"/>
      <c r="E17" s="30"/>
      <c r="F17" s="30"/>
    </row>
    <row r="18" spans="1:6" ht="31.5">
      <c r="A18" s="26" t="s">
        <v>31</v>
      </c>
      <c r="B18" s="73" t="s">
        <v>361</v>
      </c>
      <c r="C18" s="31" t="s">
        <v>86</v>
      </c>
      <c r="D18" s="27">
        <v>6.46</v>
      </c>
      <c r="E18" s="18"/>
      <c r="F18" s="18">
        <f t="shared" si="0"/>
        <v>0</v>
      </c>
    </row>
    <row r="19" spans="1:6" ht="63">
      <c r="A19" s="26" t="s">
        <v>32</v>
      </c>
      <c r="B19" s="73" t="s">
        <v>615</v>
      </c>
      <c r="C19" s="31" t="s">
        <v>86</v>
      </c>
      <c r="D19" s="27">
        <v>19.667999999999999</v>
      </c>
      <c r="E19" s="18"/>
      <c r="F19" s="18">
        <f t="shared" si="0"/>
        <v>0</v>
      </c>
    </row>
    <row r="20" spans="1:6" ht="31.5">
      <c r="A20" s="26" t="s">
        <v>33</v>
      </c>
      <c r="B20" s="73" t="s">
        <v>124</v>
      </c>
      <c r="C20" s="31" t="s">
        <v>88</v>
      </c>
      <c r="D20" s="27">
        <f>1.199+0.118</f>
        <v>1.3170000000000002</v>
      </c>
      <c r="E20" s="18"/>
      <c r="F20" s="18">
        <f t="shared" ref="F20:F67" si="1">ROUND(D20*E20,2)</f>
        <v>0</v>
      </c>
    </row>
    <row r="21" spans="1:6" ht="47.25">
      <c r="A21" s="26" t="s">
        <v>34</v>
      </c>
      <c r="B21" s="73" t="s">
        <v>630</v>
      </c>
      <c r="C21" s="31" t="s">
        <v>91</v>
      </c>
      <c r="D21" s="27">
        <v>58.51</v>
      </c>
      <c r="E21" s="18"/>
      <c r="F21" s="18">
        <f t="shared" si="1"/>
        <v>0</v>
      </c>
    </row>
    <row r="22" spans="1:6" ht="63">
      <c r="A22" s="26" t="s">
        <v>35</v>
      </c>
      <c r="B22" s="73" t="s">
        <v>631</v>
      </c>
      <c r="C22" s="31" t="s">
        <v>91</v>
      </c>
      <c r="D22" s="27">
        <v>58.51</v>
      </c>
      <c r="E22" s="18"/>
      <c r="F22" s="18">
        <f t="shared" si="1"/>
        <v>0</v>
      </c>
    </row>
    <row r="23" spans="1:6" ht="31.5">
      <c r="A23" s="26" t="s">
        <v>36</v>
      </c>
      <c r="B23" s="73" t="s">
        <v>632</v>
      </c>
      <c r="C23" s="31" t="s">
        <v>91</v>
      </c>
      <c r="D23" s="27">
        <v>9</v>
      </c>
      <c r="E23" s="18"/>
      <c r="F23" s="18">
        <f t="shared" si="1"/>
        <v>0</v>
      </c>
    </row>
    <row r="24" spans="1:6" ht="94.5">
      <c r="A24" s="26" t="s">
        <v>25</v>
      </c>
      <c r="B24" s="73" t="s">
        <v>633</v>
      </c>
      <c r="C24" s="31" t="s">
        <v>91</v>
      </c>
      <c r="D24" s="27">
        <v>52.51</v>
      </c>
      <c r="E24" s="18"/>
      <c r="F24" s="18">
        <f t="shared" si="1"/>
        <v>0</v>
      </c>
    </row>
    <row r="25" spans="1:6">
      <c r="A25" s="23"/>
      <c r="B25" s="32" t="s">
        <v>17</v>
      </c>
      <c r="C25" s="19"/>
      <c r="D25" s="28"/>
      <c r="E25" s="20"/>
      <c r="F25" s="20">
        <f>SUM(F18:F24)</f>
        <v>0</v>
      </c>
    </row>
    <row r="26" spans="1:6" ht="17.25" customHeight="1">
      <c r="A26" s="89" t="s">
        <v>93</v>
      </c>
      <c r="B26" s="92" t="s">
        <v>616</v>
      </c>
      <c r="C26" s="30"/>
      <c r="D26" s="33"/>
      <c r="E26" s="30"/>
      <c r="F26" s="30"/>
    </row>
    <row r="27" spans="1:6" ht="47.25">
      <c r="A27" s="26" t="s">
        <v>54</v>
      </c>
      <c r="B27" s="73" t="s">
        <v>176</v>
      </c>
      <c r="C27" s="31" t="s">
        <v>86</v>
      </c>
      <c r="D27" s="27">
        <v>22.032</v>
      </c>
      <c r="E27" s="18"/>
      <c r="F27" s="18">
        <f t="shared" si="1"/>
        <v>0</v>
      </c>
    </row>
    <row r="28" spans="1:6" ht="40.5" customHeight="1">
      <c r="A28" s="133"/>
      <c r="B28" s="194" t="s">
        <v>177</v>
      </c>
      <c r="C28" s="133"/>
      <c r="D28" s="134"/>
      <c r="E28" s="133"/>
      <c r="F28" s="133"/>
    </row>
    <row r="29" spans="1:6" ht="24.75" customHeight="1">
      <c r="A29" s="26" t="s">
        <v>55</v>
      </c>
      <c r="B29" s="73" t="s">
        <v>125</v>
      </c>
      <c r="C29" s="31" t="s">
        <v>88</v>
      </c>
      <c r="D29" s="27">
        <f>0.028</f>
        <v>2.8000000000000001E-2</v>
      </c>
      <c r="E29" s="18"/>
      <c r="F29" s="18">
        <f t="shared" ref="F29" si="2">ROUND(D29*E29,2)</f>
        <v>0</v>
      </c>
    </row>
    <row r="30" spans="1:6" ht="31.5">
      <c r="A30" s="26" t="s">
        <v>56</v>
      </c>
      <c r="B30" s="73" t="s">
        <v>126</v>
      </c>
      <c r="C30" s="31" t="s">
        <v>88</v>
      </c>
      <c r="D30" s="27">
        <f>0.923+0.476</f>
        <v>1.399</v>
      </c>
      <c r="E30" s="18"/>
      <c r="F30" s="18">
        <f>ROUND(D30*E30,2)</f>
        <v>0</v>
      </c>
    </row>
    <row r="31" spans="1:6" ht="47.25">
      <c r="A31" s="26" t="s">
        <v>57</v>
      </c>
      <c r="B31" s="73" t="s">
        <v>736</v>
      </c>
      <c r="C31" s="31" t="s">
        <v>86</v>
      </c>
      <c r="D31" s="27">
        <v>14.28</v>
      </c>
      <c r="E31" s="18"/>
      <c r="F31" s="18">
        <f t="shared" ref="F31" si="3">ROUND(D31*E31,2)</f>
        <v>0</v>
      </c>
    </row>
    <row r="32" spans="1:6" ht="38.25" customHeight="1">
      <c r="A32" s="133"/>
      <c r="B32" s="194" t="s">
        <v>177</v>
      </c>
      <c r="C32" s="133"/>
      <c r="D32" s="134"/>
      <c r="E32" s="133"/>
      <c r="F32" s="133"/>
    </row>
    <row r="33" spans="1:6" ht="24.75" customHeight="1">
      <c r="A33" s="26" t="s">
        <v>58</v>
      </c>
      <c r="B33" s="73" t="s">
        <v>125</v>
      </c>
      <c r="C33" s="31" t="s">
        <v>88</v>
      </c>
      <c r="D33" s="27">
        <v>1.9E-2</v>
      </c>
      <c r="E33" s="18"/>
      <c r="F33" s="18">
        <f t="shared" ref="F33" si="4">ROUND(D33*E33,2)</f>
        <v>0</v>
      </c>
    </row>
    <row r="34" spans="1:6" ht="31.5">
      <c r="A34" s="26" t="s">
        <v>59</v>
      </c>
      <c r="B34" s="73" t="s">
        <v>126</v>
      </c>
      <c r="C34" s="31" t="s">
        <v>88</v>
      </c>
      <c r="D34" s="27">
        <f>0.622+0.472</f>
        <v>1.0939999999999999</v>
      </c>
      <c r="E34" s="18"/>
      <c r="F34" s="18">
        <f>ROUND(D34*E34,2)</f>
        <v>0</v>
      </c>
    </row>
    <row r="35" spans="1:6" ht="21.75" customHeight="1">
      <c r="A35" s="21"/>
      <c r="B35" s="35" t="s">
        <v>142</v>
      </c>
      <c r="C35" s="21"/>
      <c r="D35" s="90"/>
      <c r="E35" s="21"/>
      <c r="F35" s="21"/>
    </row>
    <row r="36" spans="1:6" ht="31.5" customHeight="1">
      <c r="A36" s="26" t="s">
        <v>60</v>
      </c>
      <c r="B36" s="73" t="s">
        <v>125</v>
      </c>
      <c r="C36" s="31" t="s">
        <v>88</v>
      </c>
      <c r="D36" s="27">
        <f>0.004+0.045</f>
        <v>4.9000000000000002E-2</v>
      </c>
      <c r="E36" s="18"/>
      <c r="F36" s="18">
        <f t="shared" ref="F36" si="5">ROUND(D36*E36,2)</f>
        <v>0</v>
      </c>
    </row>
    <row r="37" spans="1:6" ht="31.5">
      <c r="A37" s="26" t="s">
        <v>61</v>
      </c>
      <c r="B37" s="73" t="s">
        <v>126</v>
      </c>
      <c r="C37" s="31" t="s">
        <v>88</v>
      </c>
      <c r="D37" s="27">
        <f>0.072+0.561</f>
        <v>0.63300000000000001</v>
      </c>
      <c r="E37" s="18"/>
      <c r="F37" s="18">
        <f>ROUND(D37*E37,2)</f>
        <v>0</v>
      </c>
    </row>
    <row r="38" spans="1:6" ht="31.5">
      <c r="A38" s="26" t="s">
        <v>62</v>
      </c>
      <c r="B38" s="73" t="s">
        <v>127</v>
      </c>
      <c r="C38" s="31" t="s">
        <v>91</v>
      </c>
      <c r="D38" s="27">
        <v>76.44</v>
      </c>
      <c r="E38" s="18"/>
      <c r="F38" s="18">
        <f t="shared" ref="F38" si="6">ROUND(D38*E38,2)</f>
        <v>0</v>
      </c>
    </row>
    <row r="39" spans="1:6" ht="47.25">
      <c r="A39" s="26" t="s">
        <v>232</v>
      </c>
      <c r="B39" s="73" t="s">
        <v>635</v>
      </c>
      <c r="C39" s="31" t="s">
        <v>91</v>
      </c>
      <c r="D39" s="27">
        <v>108</v>
      </c>
      <c r="E39" s="18"/>
      <c r="F39" s="18">
        <f t="shared" si="1"/>
        <v>0</v>
      </c>
    </row>
    <row r="40" spans="1:6" ht="51" customHeight="1">
      <c r="A40" s="26" t="s">
        <v>233</v>
      </c>
      <c r="B40" s="73" t="s">
        <v>636</v>
      </c>
      <c r="C40" s="31" t="s">
        <v>86</v>
      </c>
      <c r="D40" s="27">
        <v>1.218</v>
      </c>
      <c r="E40" s="18"/>
      <c r="F40" s="18">
        <f t="shared" si="1"/>
        <v>0</v>
      </c>
    </row>
    <row r="41" spans="1:6" ht="24" customHeight="1">
      <c r="A41" s="26" t="s">
        <v>234</v>
      </c>
      <c r="B41" s="73" t="s">
        <v>125</v>
      </c>
      <c r="C41" s="31" t="s">
        <v>88</v>
      </c>
      <c r="D41" s="27">
        <v>6.8000000000000005E-2</v>
      </c>
      <c r="E41" s="18"/>
      <c r="F41" s="18">
        <f t="shared" si="1"/>
        <v>0</v>
      </c>
    </row>
    <row r="42" spans="1:6" ht="24.75" customHeight="1">
      <c r="A42" s="26" t="s">
        <v>235</v>
      </c>
      <c r="B42" s="73" t="s">
        <v>126</v>
      </c>
      <c r="C42" s="31" t="s">
        <v>88</v>
      </c>
      <c r="D42" s="27">
        <v>0.111</v>
      </c>
      <c r="E42" s="18"/>
      <c r="F42" s="18">
        <f>ROUND(D42*E42,2)</f>
        <v>0</v>
      </c>
    </row>
    <row r="43" spans="1:6" ht="47.25">
      <c r="A43" s="26" t="s">
        <v>236</v>
      </c>
      <c r="B43" s="73" t="s">
        <v>637</v>
      </c>
      <c r="C43" s="31" t="s">
        <v>86</v>
      </c>
      <c r="D43" s="27">
        <v>0.51765000000000005</v>
      </c>
      <c r="E43" s="18"/>
      <c r="F43" s="18">
        <f t="shared" si="1"/>
        <v>0</v>
      </c>
    </row>
    <row r="44" spans="1:6" ht="24" customHeight="1">
      <c r="A44" s="26" t="s">
        <v>237</v>
      </c>
      <c r="B44" s="73" t="s">
        <v>125</v>
      </c>
      <c r="C44" s="31" t="s">
        <v>88</v>
      </c>
      <c r="D44" s="27">
        <v>4.7300000000000002E-2</v>
      </c>
      <c r="E44" s="18"/>
      <c r="F44" s="18">
        <f t="shared" ref="F44" si="7">ROUND(D44*E44,2)</f>
        <v>0</v>
      </c>
    </row>
    <row r="45" spans="1:6" ht="24.75" customHeight="1">
      <c r="A45" s="26" t="s">
        <v>238</v>
      </c>
      <c r="B45" s="73" t="s">
        <v>126</v>
      </c>
      <c r="C45" s="31" t="s">
        <v>88</v>
      </c>
      <c r="D45" s="27">
        <v>0.13519999999999999</v>
      </c>
      <c r="E45" s="18"/>
      <c r="F45" s="18">
        <f>ROUND(D45*E45,2)</f>
        <v>0</v>
      </c>
    </row>
    <row r="46" spans="1:6">
      <c r="A46" s="23"/>
      <c r="B46" s="32" t="s">
        <v>17</v>
      </c>
      <c r="C46" s="19"/>
      <c r="D46" s="28"/>
      <c r="E46" s="20"/>
      <c r="F46" s="20">
        <f>SUM(F27:F45)</f>
        <v>0</v>
      </c>
    </row>
    <row r="47" spans="1:6" ht="17.25" customHeight="1">
      <c r="A47" s="89" t="s">
        <v>141</v>
      </c>
      <c r="B47" s="92" t="s">
        <v>638</v>
      </c>
      <c r="C47" s="30"/>
      <c r="D47" s="33"/>
      <c r="E47" s="30"/>
      <c r="F47" s="30"/>
    </row>
    <row r="48" spans="1:6">
      <c r="A48" s="26" t="s">
        <v>63</v>
      </c>
      <c r="B48" s="73" t="s">
        <v>639</v>
      </c>
      <c r="C48" s="31" t="s">
        <v>89</v>
      </c>
      <c r="D48" s="27">
        <v>1</v>
      </c>
      <c r="E48" s="18"/>
      <c r="F48" s="18">
        <f t="shared" si="1"/>
        <v>0</v>
      </c>
    </row>
    <row r="49" spans="1:6" ht="31.5">
      <c r="A49" s="26" t="s">
        <v>64</v>
      </c>
      <c r="B49" s="73" t="s">
        <v>640</v>
      </c>
      <c r="C49" s="31" t="s">
        <v>87</v>
      </c>
      <c r="D49" s="27">
        <v>2</v>
      </c>
      <c r="E49" s="18"/>
      <c r="F49" s="18">
        <f t="shared" si="1"/>
        <v>0</v>
      </c>
    </row>
    <row r="50" spans="1:6" ht="47.25">
      <c r="A50" s="26" t="s">
        <v>65</v>
      </c>
      <c r="B50" s="73" t="s">
        <v>182</v>
      </c>
      <c r="C50" s="31" t="s">
        <v>91</v>
      </c>
      <c r="D50" s="27">
        <f>0.0725*100</f>
        <v>7.2499999999999991</v>
      </c>
      <c r="E50" s="18"/>
      <c r="F50" s="18">
        <f t="shared" si="1"/>
        <v>0</v>
      </c>
    </row>
    <row r="51" spans="1:6" ht="31.5">
      <c r="A51" s="26" t="s">
        <v>66</v>
      </c>
      <c r="B51" s="73" t="s">
        <v>128</v>
      </c>
      <c r="C51" s="31" t="s">
        <v>88</v>
      </c>
      <c r="D51" s="27">
        <v>3.8800000000000002E-3</v>
      </c>
      <c r="E51" s="18"/>
      <c r="F51" s="18">
        <f t="shared" si="1"/>
        <v>0</v>
      </c>
    </row>
    <row r="52" spans="1:6">
      <c r="A52" s="26"/>
      <c r="B52" s="98" t="s">
        <v>641</v>
      </c>
      <c r="C52" s="31"/>
      <c r="D52" s="27"/>
      <c r="E52" s="18"/>
      <c r="F52" s="18"/>
    </row>
    <row r="53" spans="1:6">
      <c r="A53" s="26" t="s">
        <v>67</v>
      </c>
      <c r="B53" s="73" t="s">
        <v>642</v>
      </c>
      <c r="C53" s="31" t="s">
        <v>89</v>
      </c>
      <c r="D53" s="27">
        <v>0.5</v>
      </c>
      <c r="E53" s="18"/>
      <c r="F53" s="18">
        <f t="shared" si="1"/>
        <v>0</v>
      </c>
    </row>
    <row r="54" spans="1:6">
      <c r="A54" s="26" t="s">
        <v>793</v>
      </c>
      <c r="B54" s="73" t="s">
        <v>643</v>
      </c>
      <c r="C54" s="31" t="s">
        <v>89</v>
      </c>
      <c r="D54" s="27">
        <v>0.5</v>
      </c>
      <c r="E54" s="18"/>
      <c r="F54" s="18">
        <f t="shared" si="1"/>
        <v>0</v>
      </c>
    </row>
    <row r="55" spans="1:6" ht="31.5">
      <c r="A55" s="26" t="s">
        <v>794</v>
      </c>
      <c r="B55" s="73" t="s">
        <v>644</v>
      </c>
      <c r="C55" s="31" t="s">
        <v>88</v>
      </c>
      <c r="D55" s="27">
        <v>2.928571E-2</v>
      </c>
      <c r="E55" s="18"/>
      <c r="F55" s="18">
        <f t="shared" si="1"/>
        <v>0</v>
      </c>
    </row>
    <row r="56" spans="1:6">
      <c r="A56" s="26" t="s">
        <v>792</v>
      </c>
      <c r="B56" s="73" t="s">
        <v>645</v>
      </c>
      <c r="C56" s="31" t="s">
        <v>88</v>
      </c>
      <c r="D56" s="27">
        <v>2.8199999999999999E-2</v>
      </c>
      <c r="E56" s="18"/>
      <c r="F56" s="18">
        <f t="shared" si="1"/>
        <v>0</v>
      </c>
    </row>
    <row r="57" spans="1:6">
      <c r="A57" s="26" t="s">
        <v>795</v>
      </c>
      <c r="B57" s="73" t="s">
        <v>646</v>
      </c>
      <c r="C57" s="31" t="s">
        <v>88</v>
      </c>
      <c r="D57" s="27">
        <v>3.5000000000000003E-2</v>
      </c>
      <c r="E57" s="18"/>
      <c r="F57" s="18">
        <f t="shared" si="1"/>
        <v>0</v>
      </c>
    </row>
    <row r="58" spans="1:6" ht="31.5">
      <c r="A58" s="26" t="s">
        <v>796</v>
      </c>
      <c r="B58" s="73" t="s">
        <v>647</v>
      </c>
      <c r="C58" s="31" t="s">
        <v>86</v>
      </c>
      <c r="D58" s="27">
        <v>4.4880000000000003E-2</v>
      </c>
      <c r="E58" s="18"/>
      <c r="F58" s="18">
        <f t="shared" si="1"/>
        <v>0</v>
      </c>
    </row>
    <row r="59" spans="1:6" ht="31.5">
      <c r="A59" s="26" t="s">
        <v>797</v>
      </c>
      <c r="B59" s="73" t="s">
        <v>648</v>
      </c>
      <c r="C59" s="31" t="s">
        <v>86</v>
      </c>
      <c r="D59" s="27">
        <v>0.2</v>
      </c>
      <c r="E59" s="18"/>
      <c r="F59" s="18">
        <f t="shared" si="1"/>
        <v>0</v>
      </c>
    </row>
    <row r="60" spans="1:6" ht="47.25">
      <c r="A60" s="26" t="s">
        <v>798</v>
      </c>
      <c r="B60" s="73" t="s">
        <v>877</v>
      </c>
      <c r="C60" s="31" t="s">
        <v>91</v>
      </c>
      <c r="D60" s="27">
        <v>1.3</v>
      </c>
      <c r="E60" s="18"/>
      <c r="F60" s="18">
        <f t="shared" si="1"/>
        <v>0</v>
      </c>
    </row>
    <row r="61" spans="1:6" ht="47.25">
      <c r="A61" s="26" t="s">
        <v>799</v>
      </c>
      <c r="B61" s="73" t="s">
        <v>876</v>
      </c>
      <c r="C61" s="31" t="s">
        <v>91</v>
      </c>
      <c r="D61" s="27">
        <v>1.3</v>
      </c>
      <c r="E61" s="18"/>
      <c r="F61" s="18">
        <f t="shared" si="1"/>
        <v>0</v>
      </c>
    </row>
    <row r="62" spans="1:6">
      <c r="A62" s="23"/>
      <c r="B62" s="32" t="s">
        <v>17</v>
      </c>
      <c r="C62" s="19"/>
      <c r="D62" s="28"/>
      <c r="E62" s="20"/>
      <c r="F62" s="20">
        <f>SUM(F48:F61)</f>
        <v>0</v>
      </c>
    </row>
    <row r="63" spans="1:6" ht="21.75" customHeight="1">
      <c r="A63" s="89" t="s">
        <v>148</v>
      </c>
      <c r="B63" s="92" t="s">
        <v>620</v>
      </c>
      <c r="C63" s="30"/>
      <c r="D63" s="33"/>
      <c r="E63" s="30"/>
      <c r="F63" s="30"/>
    </row>
    <row r="64" spans="1:6" ht="47.25">
      <c r="A64" s="26" t="s">
        <v>68</v>
      </c>
      <c r="B64" s="73" t="s">
        <v>649</v>
      </c>
      <c r="C64" s="31" t="s">
        <v>86</v>
      </c>
      <c r="D64" s="27">
        <v>11.896000000000001</v>
      </c>
      <c r="E64" s="18"/>
      <c r="F64" s="18">
        <f t="shared" si="1"/>
        <v>0</v>
      </c>
    </row>
    <row r="65" spans="1:6" ht="31.5">
      <c r="A65" s="26" t="s">
        <v>72</v>
      </c>
      <c r="B65" s="73" t="s">
        <v>126</v>
      </c>
      <c r="C65" s="31" t="s">
        <v>88</v>
      </c>
      <c r="D65" s="27">
        <f>1.545+0.119</f>
        <v>1.6639999999999999</v>
      </c>
      <c r="E65" s="18"/>
      <c r="F65" s="18">
        <f>ROUND(D65*E65,2)</f>
        <v>0</v>
      </c>
    </row>
    <row r="66" spans="1:6" ht="47.25">
      <c r="A66" s="26" t="s">
        <v>73</v>
      </c>
      <c r="B66" s="73" t="s">
        <v>650</v>
      </c>
      <c r="C66" s="31" t="s">
        <v>91</v>
      </c>
      <c r="D66" s="27">
        <v>59</v>
      </c>
      <c r="E66" s="18"/>
      <c r="F66" s="18">
        <f t="shared" si="1"/>
        <v>0</v>
      </c>
    </row>
    <row r="67" spans="1:6" ht="47.25">
      <c r="A67" s="26" t="s">
        <v>71</v>
      </c>
      <c r="B67" s="73" t="s">
        <v>651</v>
      </c>
      <c r="C67" s="31" t="s">
        <v>91</v>
      </c>
      <c r="D67" s="27">
        <v>59</v>
      </c>
      <c r="E67" s="18"/>
      <c r="F67" s="18">
        <f t="shared" si="1"/>
        <v>0</v>
      </c>
    </row>
    <row r="68" spans="1:6">
      <c r="A68" s="23"/>
      <c r="B68" s="32" t="s">
        <v>17</v>
      </c>
      <c r="C68" s="19"/>
      <c r="D68" s="28"/>
      <c r="E68" s="20"/>
      <c r="F68" s="20">
        <f>SUM(F64:F67)</f>
        <v>0</v>
      </c>
    </row>
    <row r="69" spans="1:6" ht="31.5">
      <c r="A69" s="89" t="s">
        <v>118</v>
      </c>
      <c r="B69" s="92" t="s">
        <v>800</v>
      </c>
      <c r="C69" s="30"/>
      <c r="D69" s="33"/>
      <c r="E69" s="30"/>
      <c r="F69" s="30"/>
    </row>
    <row r="70" spans="1:6" ht="63">
      <c r="A70" s="26" t="s">
        <v>75</v>
      </c>
      <c r="B70" s="73" t="s">
        <v>652</v>
      </c>
      <c r="C70" s="31" t="s">
        <v>87</v>
      </c>
      <c r="D70" s="27">
        <v>5.5</v>
      </c>
      <c r="E70" s="18"/>
      <c r="F70" s="18">
        <f t="shared" ref="F70:F82" si="8">ROUND(D70*E70,2)</f>
        <v>0</v>
      </c>
    </row>
    <row r="71" spans="1:6" ht="63">
      <c r="A71" s="26" t="s">
        <v>76</v>
      </c>
      <c r="B71" s="73" t="s">
        <v>653</v>
      </c>
      <c r="C71" s="31" t="s">
        <v>87</v>
      </c>
      <c r="D71" s="27">
        <f>5.5+5+3.4</f>
        <v>13.9</v>
      </c>
      <c r="E71" s="18"/>
      <c r="F71" s="18">
        <f t="shared" si="8"/>
        <v>0</v>
      </c>
    </row>
    <row r="72" spans="1:6" ht="63">
      <c r="A72" s="26" t="s">
        <v>69</v>
      </c>
      <c r="B72" s="73" t="s">
        <v>654</v>
      </c>
      <c r="C72" s="31" t="s">
        <v>89</v>
      </c>
      <c r="D72" s="27">
        <f>1+1</f>
        <v>2</v>
      </c>
      <c r="E72" s="18"/>
      <c r="F72" s="18">
        <f t="shared" si="8"/>
        <v>0</v>
      </c>
    </row>
    <row r="73" spans="1:6" ht="31.5">
      <c r="A73" s="26" t="s">
        <v>77</v>
      </c>
      <c r="B73" s="73" t="s">
        <v>878</v>
      </c>
      <c r="C73" s="31" t="s">
        <v>89</v>
      </c>
      <c r="D73" s="27">
        <v>1</v>
      </c>
      <c r="E73" s="18"/>
      <c r="F73" s="18">
        <f t="shared" ref="F73" si="9">ROUND(D73*E73,2)</f>
        <v>0</v>
      </c>
    </row>
    <row r="74" spans="1:6" ht="94.5">
      <c r="A74" s="26" t="s">
        <v>77</v>
      </c>
      <c r="B74" s="73" t="s">
        <v>655</v>
      </c>
      <c r="C74" s="31" t="s">
        <v>89</v>
      </c>
      <c r="D74" s="27">
        <v>2</v>
      </c>
      <c r="E74" s="18"/>
      <c r="F74" s="18">
        <f t="shared" si="8"/>
        <v>0</v>
      </c>
    </row>
    <row r="75" spans="1:6" ht="94.5">
      <c r="A75" s="26" t="s">
        <v>78</v>
      </c>
      <c r="B75" s="73" t="s">
        <v>656</v>
      </c>
      <c r="C75" s="31" t="s">
        <v>89</v>
      </c>
      <c r="D75" s="27">
        <v>2</v>
      </c>
      <c r="E75" s="18"/>
      <c r="F75" s="18">
        <f t="shared" si="8"/>
        <v>0</v>
      </c>
    </row>
    <row r="76" spans="1:6" ht="47.25">
      <c r="A76" s="26"/>
      <c r="B76" s="98" t="s">
        <v>657</v>
      </c>
      <c r="C76" s="137"/>
      <c r="D76" s="138"/>
      <c r="E76" s="139"/>
      <c r="F76" s="139"/>
    </row>
    <row r="77" spans="1:6">
      <c r="A77" s="26" t="s">
        <v>193</v>
      </c>
      <c r="B77" s="73" t="s">
        <v>658</v>
      </c>
      <c r="C77" s="31" t="s">
        <v>88</v>
      </c>
      <c r="D77" s="27">
        <v>3.9000015999999998E-2</v>
      </c>
      <c r="E77" s="18"/>
      <c r="F77" s="18">
        <f t="shared" si="8"/>
        <v>0</v>
      </c>
    </row>
    <row r="78" spans="1:6">
      <c r="A78" s="26" t="s">
        <v>269</v>
      </c>
      <c r="B78" s="73" t="s">
        <v>659</v>
      </c>
      <c r="C78" s="31" t="s">
        <v>88</v>
      </c>
      <c r="D78" s="27">
        <v>1.3400000399999999E-2</v>
      </c>
      <c r="E78" s="18"/>
      <c r="F78" s="18">
        <f t="shared" si="8"/>
        <v>0</v>
      </c>
    </row>
    <row r="79" spans="1:6">
      <c r="A79" s="26" t="s">
        <v>270</v>
      </c>
      <c r="B79" s="73" t="s">
        <v>660</v>
      </c>
      <c r="C79" s="31" t="s">
        <v>88</v>
      </c>
      <c r="D79" s="27">
        <v>1.0499976999999999E-2</v>
      </c>
      <c r="E79" s="18"/>
      <c r="F79" s="18">
        <f t="shared" si="8"/>
        <v>0</v>
      </c>
    </row>
    <row r="80" spans="1:6">
      <c r="A80" s="26" t="s">
        <v>271</v>
      </c>
      <c r="B80" s="73" t="s">
        <v>661</v>
      </c>
      <c r="C80" s="31" t="s">
        <v>88</v>
      </c>
      <c r="D80" s="27">
        <v>8.0999994999999998E-3</v>
      </c>
      <c r="E80" s="18"/>
      <c r="F80" s="18">
        <f t="shared" si="8"/>
        <v>0</v>
      </c>
    </row>
    <row r="81" spans="1:6" ht="47.25">
      <c r="A81" s="26" t="s">
        <v>272</v>
      </c>
      <c r="B81" s="73" t="s">
        <v>662</v>
      </c>
      <c r="C81" s="31" t="s">
        <v>89</v>
      </c>
      <c r="D81" s="27">
        <v>0.99999999699999997</v>
      </c>
      <c r="E81" s="18"/>
      <c r="F81" s="18">
        <f t="shared" si="8"/>
        <v>0</v>
      </c>
    </row>
    <row r="82" spans="1:6" ht="47.25">
      <c r="A82" s="26" t="s">
        <v>273</v>
      </c>
      <c r="B82" s="73" t="s">
        <v>663</v>
      </c>
      <c r="C82" s="31" t="s">
        <v>89</v>
      </c>
      <c r="D82" s="27">
        <v>0.99999999699999997</v>
      </c>
      <c r="E82" s="18"/>
      <c r="F82" s="18">
        <f t="shared" si="8"/>
        <v>0</v>
      </c>
    </row>
    <row r="83" spans="1:6">
      <c r="A83" s="23"/>
      <c r="B83" s="32" t="s">
        <v>17</v>
      </c>
      <c r="C83" s="19"/>
      <c r="D83" s="28"/>
      <c r="E83" s="20"/>
      <c r="F83" s="20">
        <f>SUM(F70:F82)</f>
        <v>0</v>
      </c>
    </row>
    <row r="84" spans="1:6" s="2" customFormat="1" ht="20.85" customHeight="1">
      <c r="A84" s="1" t="s">
        <v>5</v>
      </c>
      <c r="B84" s="216" t="s">
        <v>7</v>
      </c>
      <c r="C84" s="216"/>
      <c r="D84" s="216"/>
      <c r="E84" s="216"/>
      <c r="F84" s="216"/>
    </row>
    <row r="85" spans="1:6" s="2" customFormat="1" ht="25.5" customHeight="1">
      <c r="A85" s="3">
        <v>1</v>
      </c>
      <c r="B85" s="215" t="str">
        <f>B6</f>
        <v>Земляные работы / Excavation works</v>
      </c>
      <c r="C85" s="215"/>
      <c r="D85" s="215"/>
      <c r="E85" s="215"/>
      <c r="F85" s="4">
        <f>F16</f>
        <v>0</v>
      </c>
    </row>
    <row r="86" spans="1:6" s="2" customFormat="1" ht="25.5" customHeight="1">
      <c r="A86" s="3">
        <v>2</v>
      </c>
      <c r="B86" s="215" t="str">
        <f>B17</f>
        <v>Фундаменты / Foundations</v>
      </c>
      <c r="C86" s="215"/>
      <c r="D86" s="215"/>
      <c r="E86" s="215"/>
      <c r="F86" s="4">
        <f>F25</f>
        <v>0</v>
      </c>
    </row>
    <row r="87" spans="1:6" s="2" customFormat="1" ht="25.5" customHeight="1">
      <c r="A87" s="3">
        <v>3</v>
      </c>
      <c r="B87" s="215" t="str">
        <f>B26</f>
        <v>Стены / Walls</v>
      </c>
      <c r="C87" s="215"/>
      <c r="D87" s="215"/>
      <c r="E87" s="215"/>
      <c r="F87" s="4">
        <f>F46</f>
        <v>0</v>
      </c>
    </row>
    <row r="88" spans="1:6" s="2" customFormat="1" ht="25.5" customHeight="1">
      <c r="A88" s="3">
        <v>4</v>
      </c>
      <c r="B88" s="215" t="str">
        <f>B47</f>
        <v xml:space="preserve">Стремянка / Stepladder </v>
      </c>
      <c r="C88" s="215"/>
      <c r="D88" s="215"/>
      <c r="E88" s="215"/>
      <c r="F88" s="4">
        <f>F62</f>
        <v>0</v>
      </c>
    </row>
    <row r="89" spans="1:6" s="2" customFormat="1" ht="25.5" customHeight="1">
      <c r="A89" s="3">
        <v>5</v>
      </c>
      <c r="B89" s="215" t="str">
        <f>B63</f>
        <v>Перекрытие / Overlap</v>
      </c>
      <c r="C89" s="215"/>
      <c r="D89" s="215"/>
      <c r="E89" s="215"/>
      <c r="F89" s="4">
        <f>F68</f>
        <v>0</v>
      </c>
    </row>
    <row r="90" spans="1:6" s="2" customFormat="1" ht="25.5" customHeight="1">
      <c r="A90" s="3">
        <v>6</v>
      </c>
      <c r="B90" s="215" t="str">
        <f>B69</f>
        <v>Технологическая часть резервуар / Technological part tank</v>
      </c>
      <c r="C90" s="215"/>
      <c r="D90" s="215"/>
      <c r="E90" s="215"/>
      <c r="F90" s="4">
        <f>F83</f>
        <v>0</v>
      </c>
    </row>
    <row r="91" spans="1:6" s="2" customFormat="1" ht="23.25" customHeight="1">
      <c r="A91" s="1" t="s">
        <v>5</v>
      </c>
      <c r="B91" s="212" t="s">
        <v>8</v>
      </c>
      <c r="C91" s="212"/>
      <c r="D91" s="212"/>
      <c r="E91" s="212"/>
      <c r="F91" s="5">
        <f>SUM(F85:F90)</f>
        <v>0</v>
      </c>
    </row>
    <row r="92" spans="1:6" s="15" customFormat="1" ht="28.5" customHeight="1">
      <c r="A92" s="211" t="s">
        <v>9</v>
      </c>
      <c r="B92" s="211"/>
      <c r="C92" s="211"/>
      <c r="D92" s="211"/>
      <c r="E92" s="211"/>
      <c r="F92" s="211"/>
    </row>
    <row r="93" spans="1:6" s="15" customFormat="1" ht="220.5" customHeight="1">
      <c r="A93" s="211" t="s">
        <v>10</v>
      </c>
      <c r="B93" s="211"/>
      <c r="C93" s="211"/>
      <c r="D93" s="211"/>
      <c r="E93" s="211"/>
      <c r="F93" s="211"/>
    </row>
    <row r="94" spans="1:6" s="15" customFormat="1" ht="33" customHeight="1">
      <c r="A94" s="211" t="s">
        <v>11</v>
      </c>
      <c r="B94" s="211"/>
      <c r="C94" s="211"/>
      <c r="D94" s="211"/>
      <c r="E94" s="211"/>
      <c r="F94" s="211"/>
    </row>
    <row r="95" spans="1:6" s="15" customFormat="1" ht="189.75" customHeight="1">
      <c r="A95" s="211" t="s">
        <v>12</v>
      </c>
      <c r="B95" s="211"/>
      <c r="C95" s="211"/>
      <c r="D95" s="211"/>
      <c r="E95" s="211"/>
      <c r="F95" s="211"/>
    </row>
    <row r="96" spans="1:6" s="9" customFormat="1">
      <c r="A96" s="6"/>
      <c r="B96" s="7"/>
      <c r="C96" s="6"/>
      <c r="D96" s="8"/>
      <c r="E96" s="6"/>
      <c r="F96" s="6"/>
    </row>
    <row r="97" spans="1:6" s="9" customFormat="1">
      <c r="A97" s="6"/>
      <c r="B97" s="7"/>
      <c r="C97" s="6"/>
      <c r="D97" s="8"/>
      <c r="E97" s="6"/>
      <c r="F97" s="6"/>
    </row>
    <row r="98" spans="1:6" s="13" customFormat="1">
      <c r="A98" s="12"/>
      <c r="B98" s="11" t="s">
        <v>13</v>
      </c>
      <c r="C98" s="12"/>
      <c r="D98" s="8"/>
      <c r="E98" s="6"/>
      <c r="F98" s="6"/>
    </row>
    <row r="99" spans="1:6" s="13" customFormat="1">
      <c r="A99" s="12"/>
      <c r="B99" s="14" t="s">
        <v>14</v>
      </c>
      <c r="C99" s="12"/>
      <c r="D99" s="8"/>
      <c r="E99" s="6"/>
      <c r="F99" s="6"/>
    </row>
    <row r="100" spans="1:6" s="13" customFormat="1">
      <c r="A100" s="12"/>
      <c r="B100" s="14"/>
      <c r="C100" s="12"/>
      <c r="D100" s="8"/>
      <c r="E100" s="6"/>
      <c r="F100" s="6"/>
    </row>
    <row r="101" spans="1:6" s="13" customFormat="1">
      <c r="A101" s="12"/>
      <c r="B101" s="10"/>
      <c r="C101" s="12"/>
      <c r="D101" s="8"/>
      <c r="E101" s="6"/>
      <c r="F101" s="6"/>
    </row>
    <row r="102" spans="1:6" s="13" customFormat="1">
      <c r="A102" s="12"/>
      <c r="B102" s="10"/>
      <c r="C102" s="12"/>
      <c r="D102" s="8"/>
      <c r="E102" s="6"/>
      <c r="F102" s="6"/>
    </row>
    <row r="103" spans="1:6" s="13" customFormat="1">
      <c r="A103" s="12"/>
      <c r="B103" s="10" t="s">
        <v>15</v>
      </c>
      <c r="C103" s="12"/>
      <c r="D103" s="8"/>
      <c r="E103" s="6"/>
      <c r="F103" s="6"/>
    </row>
    <row r="104" spans="1:6" s="13" customFormat="1">
      <c r="A104" s="12"/>
      <c r="B104" s="10" t="s">
        <v>16</v>
      </c>
      <c r="C104" s="12"/>
      <c r="D104" s="8"/>
      <c r="E104" s="6"/>
      <c r="F104" s="6"/>
    </row>
  </sheetData>
  <protectedRanges>
    <protectedRange sqref="E4" name="Range1"/>
  </protectedRanges>
  <mergeCells count="14">
    <mergeCell ref="A94:F94"/>
    <mergeCell ref="A95:F95"/>
    <mergeCell ref="B91:E91"/>
    <mergeCell ref="B85:E85"/>
    <mergeCell ref="A2:F2"/>
    <mergeCell ref="A3:F3"/>
    <mergeCell ref="B84:F84"/>
    <mergeCell ref="A92:F92"/>
    <mergeCell ref="A93:F93"/>
    <mergeCell ref="B86:E86"/>
    <mergeCell ref="B87:E87"/>
    <mergeCell ref="B88:E88"/>
    <mergeCell ref="B89:E89"/>
    <mergeCell ref="B90:E90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3456-F2D7-4C39-8177-224E07954B37}">
  <sheetPr>
    <tabColor rgb="FF00B050"/>
  </sheetPr>
  <dimension ref="A1:F126"/>
  <sheetViews>
    <sheetView zoomScale="85" zoomScaleNormal="85" workbookViewId="0">
      <selection activeCell="F1" sqref="F1"/>
    </sheetView>
  </sheetViews>
  <sheetFormatPr defaultColWidth="8.85546875" defaultRowHeight="15.75"/>
  <cols>
    <col min="1" max="1" width="9.140625" style="191" customWidth="1"/>
    <col min="2" max="2" width="58.5703125" style="192" customWidth="1"/>
    <col min="3" max="3" width="16" style="192" customWidth="1"/>
    <col min="4" max="4" width="16" style="193" customWidth="1"/>
    <col min="5" max="6" width="16" style="191" customWidth="1"/>
    <col min="7" max="16384" width="8.85546875" style="153"/>
  </cols>
  <sheetData>
    <row r="1" spans="1:6" s="145" customFormat="1" ht="20.45" customHeight="1">
      <c r="A1" s="140"/>
      <c r="B1" s="141"/>
      <c r="C1" s="140"/>
      <c r="D1" s="142"/>
      <c r="E1" s="143" t="s">
        <v>107</v>
      </c>
      <c r="F1" s="144"/>
    </row>
    <row r="2" spans="1:6" s="146" customFormat="1" ht="50.45" customHeight="1">
      <c r="A2" s="221" t="str">
        <f>SUM!A12</f>
        <v xml:space="preserve">ВЕДОМОСТЬ ОБЪЕМОВ РАБОТ / BILL OF QUANTITIES </v>
      </c>
      <c r="B2" s="221"/>
      <c r="C2" s="221"/>
      <c r="D2" s="221"/>
      <c r="E2" s="221"/>
      <c r="F2" s="221"/>
    </row>
    <row r="3" spans="1:6" s="147" customFormat="1" ht="58.5" customHeight="1">
      <c r="A3" s="222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22"/>
      <c r="C3" s="222"/>
      <c r="D3" s="222"/>
      <c r="E3" s="222"/>
      <c r="F3" s="222"/>
    </row>
    <row r="4" spans="1:6" s="145" customFormat="1" ht="69" customHeight="1">
      <c r="A4" s="148" t="s">
        <v>95</v>
      </c>
      <c r="B4" s="148" t="s">
        <v>92</v>
      </c>
      <c r="C4" s="148" t="s">
        <v>890</v>
      </c>
      <c r="D4" s="149" t="s">
        <v>116</v>
      </c>
      <c r="E4" s="150" t="s">
        <v>99</v>
      </c>
      <c r="F4" s="151" t="s">
        <v>100</v>
      </c>
    </row>
    <row r="5" spans="1:6" ht="34.5" customHeight="1">
      <c r="A5" s="152" t="s">
        <v>4</v>
      </c>
      <c r="B5" s="154" t="s">
        <v>972</v>
      </c>
      <c r="C5" s="152"/>
      <c r="D5" s="152"/>
      <c r="E5" s="152"/>
      <c r="F5" s="152"/>
    </row>
    <row r="6" spans="1:6">
      <c r="A6" s="152" t="s">
        <v>147</v>
      </c>
      <c r="B6" s="154" t="s">
        <v>153</v>
      </c>
      <c r="C6" s="152"/>
      <c r="D6" s="152"/>
      <c r="E6" s="152"/>
      <c r="F6" s="152"/>
    </row>
    <row r="7" spans="1:6">
      <c r="A7" s="152" t="s">
        <v>1</v>
      </c>
      <c r="B7" s="155" t="s">
        <v>129</v>
      </c>
      <c r="C7" s="152"/>
      <c r="D7" s="152"/>
      <c r="E7" s="152"/>
      <c r="F7" s="152"/>
    </row>
    <row r="8" spans="1:6" ht="41.25" customHeight="1">
      <c r="A8" s="156" t="s">
        <v>1</v>
      </c>
      <c r="B8" s="157" t="s">
        <v>310</v>
      </c>
      <c r="C8" s="158" t="s">
        <v>86</v>
      </c>
      <c r="D8" s="159">
        <f>0.0432*100</f>
        <v>4.32</v>
      </c>
      <c r="E8" s="160"/>
      <c r="F8" s="160">
        <f t="shared" ref="F8:F49" si="0">ROUND(D8*E8,2)</f>
        <v>0</v>
      </c>
    </row>
    <row r="9" spans="1:6" ht="25.5" customHeight="1">
      <c r="A9" s="152" t="s">
        <v>18</v>
      </c>
      <c r="B9" s="154" t="s">
        <v>311</v>
      </c>
      <c r="C9" s="152"/>
      <c r="D9" s="152"/>
      <c r="E9" s="152"/>
      <c r="F9" s="152"/>
    </row>
    <row r="10" spans="1:6" ht="40.5" customHeight="1">
      <c r="A10" s="156" t="s">
        <v>839</v>
      </c>
      <c r="B10" s="157" t="s">
        <v>131</v>
      </c>
      <c r="C10" s="158" t="s">
        <v>86</v>
      </c>
      <c r="D10" s="159">
        <v>2.448</v>
      </c>
      <c r="E10" s="160"/>
      <c r="F10" s="160">
        <f t="shared" si="0"/>
        <v>0</v>
      </c>
    </row>
    <row r="11" spans="1:6" ht="47.25">
      <c r="A11" s="156" t="s">
        <v>840</v>
      </c>
      <c r="B11" s="157" t="s">
        <v>488</v>
      </c>
      <c r="C11" s="158" t="s">
        <v>86</v>
      </c>
      <c r="D11" s="159">
        <v>1.2729999999999999</v>
      </c>
      <c r="E11" s="160"/>
      <c r="F11" s="160">
        <f t="shared" si="0"/>
        <v>0</v>
      </c>
    </row>
    <row r="12" spans="1:6" ht="31.5">
      <c r="A12" s="156"/>
      <c r="B12" s="161" t="s">
        <v>177</v>
      </c>
      <c r="C12" s="158"/>
      <c r="D12" s="159"/>
      <c r="E12" s="160"/>
      <c r="F12" s="160"/>
    </row>
    <row r="13" spans="1:6" ht="18.75" customHeight="1">
      <c r="A13" s="156" t="s">
        <v>841</v>
      </c>
      <c r="B13" s="157" t="s">
        <v>346</v>
      </c>
      <c r="C13" s="158" t="s">
        <v>88</v>
      </c>
      <c r="D13" s="159">
        <v>3.8400000000000004E-2</v>
      </c>
      <c r="E13" s="160"/>
      <c r="F13" s="160">
        <f t="shared" si="0"/>
        <v>0</v>
      </c>
    </row>
    <row r="14" spans="1:6" ht="18.75" customHeight="1">
      <c r="A14" s="156" t="s">
        <v>842</v>
      </c>
      <c r="B14" s="157" t="s">
        <v>347</v>
      </c>
      <c r="C14" s="158" t="s">
        <v>88</v>
      </c>
      <c r="D14" s="159">
        <v>0.16319999999999998</v>
      </c>
      <c r="E14" s="160"/>
      <c r="F14" s="160">
        <f t="shared" si="0"/>
        <v>0</v>
      </c>
    </row>
    <row r="15" spans="1:6" ht="31.5">
      <c r="A15" s="156" t="s">
        <v>843</v>
      </c>
      <c r="B15" s="157" t="s">
        <v>127</v>
      </c>
      <c r="C15" s="158" t="s">
        <v>91</v>
      </c>
      <c r="D15" s="159">
        <v>212</v>
      </c>
      <c r="E15" s="160"/>
      <c r="F15" s="160">
        <f t="shared" si="0"/>
        <v>0</v>
      </c>
    </row>
    <row r="16" spans="1:6" ht="31.5">
      <c r="A16" s="152" t="s">
        <v>19</v>
      </c>
      <c r="B16" s="154" t="s">
        <v>146</v>
      </c>
      <c r="C16" s="152"/>
      <c r="D16" s="152"/>
      <c r="E16" s="152"/>
      <c r="F16" s="152"/>
    </row>
    <row r="17" spans="1:6" ht="31.5">
      <c r="A17" s="162"/>
      <c r="B17" s="163" t="s">
        <v>313</v>
      </c>
      <c r="C17" s="164"/>
      <c r="D17" s="164"/>
      <c r="E17" s="165"/>
      <c r="F17" s="165"/>
    </row>
    <row r="18" spans="1:6" ht="31.5">
      <c r="A18" s="156" t="s">
        <v>845</v>
      </c>
      <c r="B18" s="157" t="s">
        <v>489</v>
      </c>
      <c r="C18" s="158" t="s">
        <v>88</v>
      </c>
      <c r="D18" s="159">
        <v>0.66345999999999994</v>
      </c>
      <c r="E18" s="160"/>
      <c r="F18" s="160">
        <f t="shared" si="0"/>
        <v>0</v>
      </c>
    </row>
    <row r="19" spans="1:6" ht="31.5">
      <c r="A19" s="156" t="s">
        <v>846</v>
      </c>
      <c r="B19" s="157" t="s">
        <v>490</v>
      </c>
      <c r="C19" s="158" t="s">
        <v>88</v>
      </c>
      <c r="D19" s="159">
        <v>0.47039999999999998</v>
      </c>
      <c r="E19" s="160"/>
      <c r="F19" s="160">
        <f t="shared" si="0"/>
        <v>0</v>
      </c>
    </row>
    <row r="20" spans="1:6" ht="31.5">
      <c r="A20" s="156" t="s">
        <v>847</v>
      </c>
      <c r="B20" s="157" t="s">
        <v>491</v>
      </c>
      <c r="C20" s="158" t="s">
        <v>88</v>
      </c>
      <c r="D20" s="159">
        <v>9.4079999999999997E-2</v>
      </c>
      <c r="E20" s="160"/>
      <c r="F20" s="160">
        <f t="shared" si="0"/>
        <v>0</v>
      </c>
    </row>
    <row r="21" spans="1:6">
      <c r="A21" s="156" t="s">
        <v>848</v>
      </c>
      <c r="B21" s="157" t="s">
        <v>492</v>
      </c>
      <c r="C21" s="158" t="s">
        <v>88</v>
      </c>
      <c r="D21" s="159">
        <v>4.3119999999999999E-2</v>
      </c>
      <c r="E21" s="160"/>
      <c r="F21" s="160">
        <f t="shared" si="0"/>
        <v>0</v>
      </c>
    </row>
    <row r="22" spans="1:6">
      <c r="A22" s="156" t="s">
        <v>849</v>
      </c>
      <c r="B22" s="157" t="s">
        <v>493</v>
      </c>
      <c r="C22" s="158" t="s">
        <v>88</v>
      </c>
      <c r="D22" s="159">
        <v>4.3119999999999999E-2</v>
      </c>
      <c r="E22" s="160"/>
      <c r="F22" s="160">
        <f t="shared" si="0"/>
        <v>0</v>
      </c>
    </row>
    <row r="23" spans="1:6">
      <c r="A23" s="156" t="s">
        <v>850</v>
      </c>
      <c r="B23" s="157" t="s">
        <v>494</v>
      </c>
      <c r="C23" s="158" t="s">
        <v>88</v>
      </c>
      <c r="D23" s="159">
        <v>0.66395000000000004</v>
      </c>
      <c r="E23" s="160"/>
      <c r="F23" s="160">
        <f t="shared" si="0"/>
        <v>0</v>
      </c>
    </row>
    <row r="24" spans="1:6" ht="31.5">
      <c r="A24" s="156" t="s">
        <v>851</v>
      </c>
      <c r="B24" s="157" t="s">
        <v>495</v>
      </c>
      <c r="C24" s="158" t="s">
        <v>88</v>
      </c>
      <c r="D24" s="159">
        <v>6.1740000000000003E-2</v>
      </c>
      <c r="E24" s="160"/>
      <c r="F24" s="160">
        <f t="shared" si="0"/>
        <v>0</v>
      </c>
    </row>
    <row r="25" spans="1:6" ht="31.5">
      <c r="A25" s="156" t="s">
        <v>852</v>
      </c>
      <c r="B25" s="166" t="s">
        <v>496</v>
      </c>
      <c r="C25" s="158" t="s">
        <v>88</v>
      </c>
      <c r="D25" s="159">
        <v>4.3609999999999996E-2</v>
      </c>
      <c r="E25" s="160"/>
      <c r="F25" s="160">
        <f t="shared" si="0"/>
        <v>0</v>
      </c>
    </row>
    <row r="26" spans="1:6" ht="31.5">
      <c r="A26" s="156" t="s">
        <v>853</v>
      </c>
      <c r="B26" s="166" t="s">
        <v>497</v>
      </c>
      <c r="C26" s="158" t="s">
        <v>88</v>
      </c>
      <c r="D26" s="159">
        <v>0.90503</v>
      </c>
      <c r="E26" s="160"/>
      <c r="F26" s="160">
        <f t="shared" si="0"/>
        <v>0</v>
      </c>
    </row>
    <row r="27" spans="1:6" ht="31.5">
      <c r="A27" s="156" t="s">
        <v>854</v>
      </c>
      <c r="B27" s="166" t="s">
        <v>498</v>
      </c>
      <c r="C27" s="158" t="s">
        <v>88</v>
      </c>
      <c r="D27" s="159">
        <v>5.7976799999999995E-2</v>
      </c>
      <c r="E27" s="160"/>
      <c r="F27" s="160">
        <f t="shared" si="0"/>
        <v>0</v>
      </c>
    </row>
    <row r="28" spans="1:6" ht="47.25">
      <c r="A28" s="156" t="s">
        <v>855</v>
      </c>
      <c r="B28" s="157" t="s">
        <v>137</v>
      </c>
      <c r="C28" s="158" t="s">
        <v>91</v>
      </c>
      <c r="D28" s="159">
        <v>294</v>
      </c>
      <c r="E28" s="160"/>
      <c r="F28" s="160">
        <f t="shared" ref="F28:F29" si="1">ROUND(D28*E28,2)</f>
        <v>0</v>
      </c>
    </row>
    <row r="29" spans="1:6" ht="47.25">
      <c r="A29" s="156" t="s">
        <v>856</v>
      </c>
      <c r="B29" s="157" t="s">
        <v>138</v>
      </c>
      <c r="C29" s="158" t="s">
        <v>91</v>
      </c>
      <c r="D29" s="159">
        <v>294</v>
      </c>
      <c r="E29" s="160"/>
      <c r="F29" s="160">
        <f t="shared" si="1"/>
        <v>0</v>
      </c>
    </row>
    <row r="30" spans="1:6" ht="21" customHeight="1">
      <c r="A30" s="162"/>
      <c r="B30" s="163" t="s">
        <v>136</v>
      </c>
      <c r="C30" s="164"/>
      <c r="D30" s="164"/>
      <c r="E30" s="165"/>
      <c r="F30" s="165"/>
    </row>
    <row r="31" spans="1:6" ht="41.25" customHeight="1">
      <c r="A31" s="156" t="s">
        <v>857</v>
      </c>
      <c r="B31" s="157" t="s">
        <v>310</v>
      </c>
      <c r="C31" s="158" t="s">
        <v>86</v>
      </c>
      <c r="D31" s="159">
        <v>0.82</v>
      </c>
      <c r="E31" s="160"/>
      <c r="F31" s="160">
        <f t="shared" ref="F31" si="2">ROUND(D31*E31,2)</f>
        <v>0</v>
      </c>
    </row>
    <row r="32" spans="1:6" ht="47.25">
      <c r="A32" s="156" t="s">
        <v>858</v>
      </c>
      <c r="B32" s="157" t="s">
        <v>499</v>
      </c>
      <c r="C32" s="158" t="s">
        <v>86</v>
      </c>
      <c r="D32" s="159">
        <v>0.52</v>
      </c>
      <c r="E32" s="160"/>
      <c r="F32" s="160">
        <f t="shared" si="0"/>
        <v>0</v>
      </c>
    </row>
    <row r="33" spans="1:6" ht="31.5">
      <c r="A33" s="156"/>
      <c r="B33" s="161" t="s">
        <v>500</v>
      </c>
      <c r="C33" s="158"/>
      <c r="D33" s="159"/>
      <c r="E33" s="160"/>
      <c r="F33" s="160"/>
    </row>
    <row r="34" spans="1:6">
      <c r="A34" s="156" t="s">
        <v>859</v>
      </c>
      <c r="B34" s="157" t="s">
        <v>346</v>
      </c>
      <c r="C34" s="158" t="s">
        <v>88</v>
      </c>
      <c r="D34" s="159">
        <v>1.6000000000000001E-3</v>
      </c>
      <c r="E34" s="160"/>
      <c r="F34" s="160">
        <f t="shared" si="0"/>
        <v>0</v>
      </c>
    </row>
    <row r="35" spans="1:6">
      <c r="A35" s="156" t="s">
        <v>860</v>
      </c>
      <c r="B35" s="157" t="s">
        <v>347</v>
      </c>
      <c r="C35" s="158" t="s">
        <v>88</v>
      </c>
      <c r="D35" s="159">
        <v>6.7999999999999996E-3</v>
      </c>
      <c r="E35" s="160"/>
      <c r="F35" s="160">
        <f t="shared" si="0"/>
        <v>0</v>
      </c>
    </row>
    <row r="36" spans="1:6" ht="31.5">
      <c r="A36" s="156" t="s">
        <v>861</v>
      </c>
      <c r="B36" s="157" t="s">
        <v>127</v>
      </c>
      <c r="C36" s="158" t="s">
        <v>91</v>
      </c>
      <c r="D36" s="159">
        <v>3.84</v>
      </c>
      <c r="E36" s="160"/>
      <c r="F36" s="160">
        <f t="shared" si="0"/>
        <v>0</v>
      </c>
    </row>
    <row r="37" spans="1:6" ht="47.25">
      <c r="A37" s="167"/>
      <c r="B37" s="168" t="s">
        <v>135</v>
      </c>
      <c r="C37" s="169"/>
      <c r="D37" s="169"/>
      <c r="E37" s="170"/>
      <c r="F37" s="170"/>
    </row>
    <row r="38" spans="1:6" ht="31.5">
      <c r="A38" s="156" t="s">
        <v>862</v>
      </c>
      <c r="B38" s="157" t="s">
        <v>501</v>
      </c>
      <c r="C38" s="158" t="s">
        <v>88</v>
      </c>
      <c r="D38" s="159">
        <v>1.4E-2</v>
      </c>
      <c r="E38" s="160"/>
      <c r="F38" s="160">
        <f t="shared" si="0"/>
        <v>0</v>
      </c>
    </row>
    <row r="39" spans="1:6" ht="31.5">
      <c r="A39" s="156" t="s">
        <v>863</v>
      </c>
      <c r="B39" s="157" t="s">
        <v>502</v>
      </c>
      <c r="C39" s="158" t="s">
        <v>88</v>
      </c>
      <c r="D39" s="159">
        <v>1.2E-2</v>
      </c>
      <c r="E39" s="160"/>
      <c r="F39" s="160">
        <f t="shared" si="0"/>
        <v>0</v>
      </c>
    </row>
    <row r="40" spans="1:6" ht="31.5">
      <c r="A40" s="156" t="s">
        <v>864</v>
      </c>
      <c r="B40" s="157" t="s">
        <v>490</v>
      </c>
      <c r="C40" s="158" t="s">
        <v>88</v>
      </c>
      <c r="D40" s="159">
        <v>1.9199999999999998E-2</v>
      </c>
      <c r="E40" s="160"/>
      <c r="F40" s="160">
        <f t="shared" si="0"/>
        <v>0</v>
      </c>
    </row>
    <row r="41" spans="1:6" ht="31.5">
      <c r="A41" s="156" t="s">
        <v>865</v>
      </c>
      <c r="B41" s="157" t="s">
        <v>491</v>
      </c>
      <c r="C41" s="158" t="s">
        <v>88</v>
      </c>
      <c r="D41" s="159">
        <v>3.8399999999999997E-3</v>
      </c>
      <c r="E41" s="160"/>
      <c r="F41" s="160">
        <f t="shared" si="0"/>
        <v>0</v>
      </c>
    </row>
    <row r="42" spans="1:6">
      <c r="A42" s="156" t="s">
        <v>866</v>
      </c>
      <c r="B42" s="157" t="s">
        <v>494</v>
      </c>
      <c r="C42" s="158" t="s">
        <v>88</v>
      </c>
      <c r="D42" s="159">
        <v>7.0699999999999999E-3</v>
      </c>
      <c r="E42" s="160"/>
      <c r="F42" s="160">
        <f t="shared" si="0"/>
        <v>0</v>
      </c>
    </row>
    <row r="43" spans="1:6" ht="31.5">
      <c r="A43" s="156" t="s">
        <v>867</v>
      </c>
      <c r="B43" s="157" t="s">
        <v>503</v>
      </c>
      <c r="C43" s="158" t="s">
        <v>88</v>
      </c>
      <c r="D43" s="159">
        <v>1.2960000000000001E-3</v>
      </c>
      <c r="E43" s="160"/>
      <c r="F43" s="160">
        <f t="shared" si="0"/>
        <v>0</v>
      </c>
    </row>
    <row r="44" spans="1:6" ht="31.5">
      <c r="A44" s="156" t="s">
        <v>868</v>
      </c>
      <c r="B44" s="157" t="s">
        <v>496</v>
      </c>
      <c r="C44" s="158" t="s">
        <v>88</v>
      </c>
      <c r="D44" s="159">
        <v>1.7800000000000001E-3</v>
      </c>
      <c r="E44" s="160"/>
      <c r="F44" s="160">
        <f t="shared" si="0"/>
        <v>0</v>
      </c>
    </row>
    <row r="45" spans="1:6" ht="31.5">
      <c r="A45" s="156" t="s">
        <v>869</v>
      </c>
      <c r="B45" s="157" t="s">
        <v>497</v>
      </c>
      <c r="C45" s="158" t="s">
        <v>88</v>
      </c>
      <c r="D45" s="159">
        <v>3.6940000000000001E-2</v>
      </c>
      <c r="E45" s="160"/>
      <c r="F45" s="160">
        <f t="shared" si="0"/>
        <v>0</v>
      </c>
    </row>
    <row r="46" spans="1:6" ht="31.5">
      <c r="A46" s="156" t="s">
        <v>870</v>
      </c>
      <c r="B46" s="157" t="s">
        <v>504</v>
      </c>
      <c r="C46" s="158" t="s">
        <v>88</v>
      </c>
      <c r="D46" s="159">
        <v>5.7582399999999985E-4</v>
      </c>
      <c r="E46" s="160"/>
      <c r="F46" s="160">
        <f t="shared" si="0"/>
        <v>0</v>
      </c>
    </row>
    <row r="47" spans="1:6">
      <c r="A47" s="156" t="s">
        <v>871</v>
      </c>
      <c r="B47" s="157" t="s">
        <v>505</v>
      </c>
      <c r="C47" s="158" t="s">
        <v>89</v>
      </c>
      <c r="D47" s="159">
        <v>4</v>
      </c>
      <c r="E47" s="160"/>
      <c r="F47" s="160">
        <f t="shared" si="0"/>
        <v>0</v>
      </c>
    </row>
    <row r="48" spans="1:6" ht="47.25">
      <c r="A48" s="156" t="s">
        <v>872</v>
      </c>
      <c r="B48" s="157" t="s">
        <v>137</v>
      </c>
      <c r="C48" s="158" t="s">
        <v>91</v>
      </c>
      <c r="D48" s="159">
        <v>6</v>
      </c>
      <c r="E48" s="160"/>
      <c r="F48" s="160">
        <f t="shared" si="0"/>
        <v>0</v>
      </c>
    </row>
    <row r="49" spans="1:6" ht="47.25">
      <c r="A49" s="156" t="s">
        <v>873</v>
      </c>
      <c r="B49" s="157" t="s">
        <v>138</v>
      </c>
      <c r="C49" s="158" t="s">
        <v>91</v>
      </c>
      <c r="D49" s="159">
        <v>6</v>
      </c>
      <c r="E49" s="160"/>
      <c r="F49" s="160">
        <f t="shared" si="0"/>
        <v>0</v>
      </c>
    </row>
    <row r="50" spans="1:6" ht="19.5" customHeight="1">
      <c r="A50" s="171"/>
      <c r="B50" s="172" t="s">
        <v>17</v>
      </c>
      <c r="C50" s="173"/>
      <c r="D50" s="174"/>
      <c r="E50" s="139"/>
      <c r="F50" s="139">
        <f>SUM(F8:F49)</f>
        <v>0</v>
      </c>
    </row>
    <row r="51" spans="1:6" s="16" customFormat="1" ht="31.5">
      <c r="A51" s="89" t="s">
        <v>139</v>
      </c>
      <c r="B51" s="91" t="s">
        <v>820</v>
      </c>
      <c r="C51" s="89"/>
      <c r="D51" s="89"/>
      <c r="E51" s="89"/>
      <c r="F51" s="89"/>
    </row>
    <row r="52" spans="1:6" s="16" customFormat="1">
      <c r="A52" s="89" t="s">
        <v>31</v>
      </c>
      <c r="B52" s="92" t="s">
        <v>129</v>
      </c>
      <c r="C52" s="89"/>
      <c r="D52" s="89"/>
      <c r="E52" s="89"/>
      <c r="F52" s="89"/>
    </row>
    <row r="53" spans="1:6" s="16" customFormat="1" ht="31.5">
      <c r="A53" s="26" t="s">
        <v>892</v>
      </c>
      <c r="B53" s="73" t="s">
        <v>310</v>
      </c>
      <c r="C53" s="31" t="s">
        <v>86</v>
      </c>
      <c r="D53" s="27">
        <f>1.0664*100</f>
        <v>106.64</v>
      </c>
      <c r="E53" s="18"/>
      <c r="F53" s="18">
        <f t="shared" ref="F53:F62" si="3">ROUND(D53*E53,2)</f>
        <v>0</v>
      </c>
    </row>
    <row r="54" spans="1:6" s="16" customFormat="1" ht="31.5">
      <c r="A54" s="26" t="s">
        <v>893</v>
      </c>
      <c r="B54" s="73" t="s">
        <v>173</v>
      </c>
      <c r="C54" s="31" t="s">
        <v>86</v>
      </c>
      <c r="D54" s="27">
        <f>1.0664*100</f>
        <v>106.64</v>
      </c>
      <c r="E54" s="18"/>
      <c r="F54" s="18">
        <f t="shared" si="3"/>
        <v>0</v>
      </c>
    </row>
    <row r="55" spans="1:6" s="16" customFormat="1">
      <c r="A55" s="23"/>
      <c r="B55" s="32" t="s">
        <v>17</v>
      </c>
      <c r="C55" s="19"/>
      <c r="D55" s="28"/>
      <c r="E55" s="20"/>
      <c r="F55" s="20">
        <f>SUM(F53:F54)</f>
        <v>0</v>
      </c>
    </row>
    <row r="56" spans="1:6" s="16" customFormat="1" ht="16.5" customHeight="1">
      <c r="A56" s="89" t="s">
        <v>32</v>
      </c>
      <c r="B56" s="91" t="s">
        <v>506</v>
      </c>
      <c r="C56" s="89"/>
      <c r="D56" s="89"/>
      <c r="E56" s="89"/>
      <c r="F56" s="89"/>
    </row>
    <row r="57" spans="1:6" s="16" customFormat="1" ht="47.25">
      <c r="A57" s="26"/>
      <c r="B57" s="98" t="s">
        <v>507</v>
      </c>
      <c r="C57" s="31"/>
      <c r="D57" s="27"/>
      <c r="E57" s="18"/>
      <c r="F57" s="18"/>
    </row>
    <row r="58" spans="1:6" s="16" customFormat="1" ht="31.5">
      <c r="A58" s="26" t="s">
        <v>810</v>
      </c>
      <c r="B58" s="73" t="s">
        <v>508</v>
      </c>
      <c r="C58" s="31" t="s">
        <v>89</v>
      </c>
      <c r="D58" s="27">
        <v>1</v>
      </c>
      <c r="E58" s="18"/>
      <c r="F58" s="18">
        <f t="shared" si="3"/>
        <v>0</v>
      </c>
    </row>
    <row r="59" spans="1:6" s="16" customFormat="1" ht="31.5">
      <c r="A59" s="26" t="s">
        <v>811</v>
      </c>
      <c r="B59" s="73" t="s">
        <v>509</v>
      </c>
      <c r="C59" s="31" t="s">
        <v>89</v>
      </c>
      <c r="D59" s="27">
        <v>1</v>
      </c>
      <c r="E59" s="18"/>
      <c r="F59" s="18">
        <f t="shared" si="3"/>
        <v>0</v>
      </c>
    </row>
    <row r="60" spans="1:6" s="16" customFormat="1">
      <c r="A60" s="26" t="s">
        <v>349</v>
      </c>
      <c r="B60" s="73" t="s">
        <v>510</v>
      </c>
      <c r="C60" s="31" t="s">
        <v>89</v>
      </c>
      <c r="D60" s="27">
        <v>2</v>
      </c>
      <c r="E60" s="18"/>
      <c r="F60" s="18">
        <f t="shared" si="3"/>
        <v>0</v>
      </c>
    </row>
    <row r="61" spans="1:6" s="16" customFormat="1" ht="84.75" customHeight="1">
      <c r="A61" s="26" t="s">
        <v>812</v>
      </c>
      <c r="B61" s="73" t="s">
        <v>511</v>
      </c>
      <c r="C61" s="31" t="s">
        <v>87</v>
      </c>
      <c r="D61" s="27">
        <f>0.062*1000</f>
        <v>62</v>
      </c>
      <c r="E61" s="18"/>
      <c r="F61" s="18">
        <f t="shared" si="3"/>
        <v>0</v>
      </c>
    </row>
    <row r="62" spans="1:6" s="16" customFormat="1" ht="57.75" customHeight="1">
      <c r="A62" s="26" t="s">
        <v>813</v>
      </c>
      <c r="B62" s="73" t="s">
        <v>512</v>
      </c>
      <c r="C62" s="31" t="s">
        <v>87</v>
      </c>
      <c r="D62" s="27">
        <f>0.062*1000</f>
        <v>62</v>
      </c>
      <c r="E62" s="18"/>
      <c r="F62" s="18">
        <f t="shared" si="3"/>
        <v>0</v>
      </c>
    </row>
    <row r="63" spans="1:6" s="16" customFormat="1">
      <c r="A63" s="23"/>
      <c r="B63" s="32" t="s">
        <v>17</v>
      </c>
      <c r="C63" s="19"/>
      <c r="D63" s="28"/>
      <c r="E63" s="20"/>
      <c r="F63" s="20">
        <f>SUM(F57:F62)</f>
        <v>0</v>
      </c>
    </row>
    <row r="64" spans="1:6" s="16" customFormat="1" ht="34.5" customHeight="1">
      <c r="A64" s="89" t="s">
        <v>93</v>
      </c>
      <c r="B64" s="92" t="s">
        <v>926</v>
      </c>
      <c r="C64" s="89"/>
      <c r="D64" s="89"/>
      <c r="E64" s="89"/>
      <c r="F64" s="89"/>
    </row>
    <row r="65" spans="1:6" s="16" customFormat="1">
      <c r="A65" s="89" t="s">
        <v>54</v>
      </c>
      <c r="B65" s="92" t="s">
        <v>129</v>
      </c>
      <c r="C65" s="89"/>
      <c r="D65" s="89"/>
      <c r="E65" s="89"/>
      <c r="F65" s="89"/>
    </row>
    <row r="66" spans="1:6" s="16" customFormat="1" ht="47.25">
      <c r="A66" s="26" t="s">
        <v>894</v>
      </c>
      <c r="B66" s="73" t="s">
        <v>513</v>
      </c>
      <c r="C66" s="31" t="s">
        <v>86</v>
      </c>
      <c r="D66" s="27">
        <f>3.6+5.4</f>
        <v>9</v>
      </c>
      <c r="E66" s="18"/>
      <c r="F66" s="18">
        <f t="shared" ref="F66:F83" si="4">ROUND(D66*E66,2)</f>
        <v>0</v>
      </c>
    </row>
    <row r="67" spans="1:6" s="16" customFormat="1" ht="47.25">
      <c r="A67" s="26" t="s">
        <v>895</v>
      </c>
      <c r="B67" s="73" t="s">
        <v>514</v>
      </c>
      <c r="C67" s="31" t="s">
        <v>86</v>
      </c>
      <c r="D67" s="27">
        <f>0.4+0.6</f>
        <v>1</v>
      </c>
      <c r="E67" s="18"/>
      <c r="F67" s="18">
        <f t="shared" si="4"/>
        <v>0</v>
      </c>
    </row>
    <row r="68" spans="1:6" s="16" customFormat="1" ht="31.5">
      <c r="A68" s="26" t="s">
        <v>896</v>
      </c>
      <c r="B68" s="73" t="s">
        <v>515</v>
      </c>
      <c r="C68" s="31" t="s">
        <v>86</v>
      </c>
      <c r="D68" s="27">
        <f>0.32+0.48</f>
        <v>0.8</v>
      </c>
      <c r="E68" s="18"/>
      <c r="F68" s="18">
        <f t="shared" si="4"/>
        <v>0</v>
      </c>
    </row>
    <row r="69" spans="1:6" s="16" customFormat="1" ht="47.25">
      <c r="A69" s="26" t="s">
        <v>897</v>
      </c>
      <c r="B69" s="73" t="s">
        <v>519</v>
      </c>
      <c r="C69" s="31" t="s">
        <v>86</v>
      </c>
      <c r="D69" s="27">
        <f>0.0015*100</f>
        <v>0.15</v>
      </c>
      <c r="E69" s="18"/>
      <c r="F69" s="18">
        <f t="shared" si="4"/>
        <v>0</v>
      </c>
    </row>
    <row r="70" spans="1:6" s="16" customFormat="1" ht="31.5">
      <c r="A70" s="26" t="s">
        <v>898</v>
      </c>
      <c r="B70" s="73" t="s">
        <v>518</v>
      </c>
      <c r="C70" s="31" t="s">
        <v>88</v>
      </c>
      <c r="D70" s="27">
        <v>5.28</v>
      </c>
      <c r="E70" s="18"/>
      <c r="F70" s="18">
        <f t="shared" si="4"/>
        <v>0</v>
      </c>
    </row>
    <row r="71" spans="1:6" s="16" customFormat="1" ht="31.5">
      <c r="A71" s="26" t="s">
        <v>899</v>
      </c>
      <c r="B71" s="73" t="s">
        <v>517</v>
      </c>
      <c r="C71" s="31" t="s">
        <v>88</v>
      </c>
      <c r="D71" s="27">
        <v>5.4450000000000003</v>
      </c>
      <c r="E71" s="18"/>
      <c r="F71" s="18">
        <f t="shared" si="4"/>
        <v>0</v>
      </c>
    </row>
    <row r="72" spans="1:6" s="16" customFormat="1" ht="47.25">
      <c r="A72" s="26" t="s">
        <v>900</v>
      </c>
      <c r="B72" s="73" t="s">
        <v>516</v>
      </c>
      <c r="C72" s="31" t="s">
        <v>88</v>
      </c>
      <c r="D72" s="27">
        <v>0.36599999999999999</v>
      </c>
      <c r="E72" s="18"/>
      <c r="F72" s="18">
        <f t="shared" si="4"/>
        <v>0</v>
      </c>
    </row>
    <row r="73" spans="1:6" s="16" customFormat="1" ht="26.45" customHeight="1">
      <c r="A73" s="23"/>
      <c r="B73" s="32" t="s">
        <v>17</v>
      </c>
      <c r="C73" s="19"/>
      <c r="D73" s="28"/>
      <c r="E73" s="20"/>
      <c r="F73" s="20">
        <f>SUM(F66:F72)</f>
        <v>0</v>
      </c>
    </row>
    <row r="74" spans="1:6" s="16" customFormat="1" ht="31.5">
      <c r="A74" s="89" t="s">
        <v>55</v>
      </c>
      <c r="B74" s="92" t="s">
        <v>144</v>
      </c>
      <c r="C74" s="30"/>
      <c r="D74" s="33"/>
      <c r="E74" s="30"/>
      <c r="F74" s="30"/>
    </row>
    <row r="75" spans="1:6" s="16" customFormat="1" ht="48.6" customHeight="1">
      <c r="A75" s="26" t="s">
        <v>901</v>
      </c>
      <c r="B75" s="73" t="s">
        <v>520</v>
      </c>
      <c r="C75" s="31" t="s">
        <v>89</v>
      </c>
      <c r="D75" s="27">
        <v>2</v>
      </c>
      <c r="E75" s="18"/>
      <c r="F75" s="18">
        <f t="shared" si="4"/>
        <v>0</v>
      </c>
    </row>
    <row r="76" spans="1:6" s="16" customFormat="1" ht="31.5">
      <c r="A76" s="26" t="s">
        <v>902</v>
      </c>
      <c r="B76" s="73" t="s">
        <v>521</v>
      </c>
      <c r="C76" s="31" t="s">
        <v>89</v>
      </c>
      <c r="D76" s="27">
        <v>2</v>
      </c>
      <c r="E76" s="18"/>
      <c r="F76" s="18">
        <f t="shared" si="4"/>
        <v>0</v>
      </c>
    </row>
    <row r="77" spans="1:6" s="16" customFormat="1" ht="31.5">
      <c r="A77" s="26" t="s">
        <v>903</v>
      </c>
      <c r="B77" s="73" t="s">
        <v>522</v>
      </c>
      <c r="C77" s="31" t="s">
        <v>87</v>
      </c>
      <c r="D77" s="27">
        <v>10</v>
      </c>
      <c r="E77" s="18"/>
      <c r="F77" s="18">
        <f t="shared" si="4"/>
        <v>0</v>
      </c>
    </row>
    <row r="78" spans="1:6" s="16" customFormat="1" ht="31.5">
      <c r="A78" s="26" t="s">
        <v>904</v>
      </c>
      <c r="B78" s="73" t="s">
        <v>523</v>
      </c>
      <c r="C78" s="31" t="s">
        <v>87</v>
      </c>
      <c r="D78" s="27">
        <v>30</v>
      </c>
      <c r="E78" s="18"/>
      <c r="F78" s="18">
        <f t="shared" si="4"/>
        <v>0</v>
      </c>
    </row>
    <row r="79" spans="1:6" s="16" customFormat="1" ht="47.25">
      <c r="A79" s="26" t="s">
        <v>905</v>
      </c>
      <c r="B79" s="73" t="s">
        <v>524</v>
      </c>
      <c r="C79" s="31" t="s">
        <v>87</v>
      </c>
      <c r="D79" s="27">
        <v>5</v>
      </c>
      <c r="E79" s="18"/>
      <c r="F79" s="18">
        <f t="shared" si="4"/>
        <v>0</v>
      </c>
    </row>
    <row r="80" spans="1:6" s="16" customFormat="1" ht="31.5">
      <c r="A80" s="26" t="s">
        <v>906</v>
      </c>
      <c r="B80" s="73" t="s">
        <v>525</v>
      </c>
      <c r="C80" s="31" t="s">
        <v>87</v>
      </c>
      <c r="D80" s="27">
        <v>12</v>
      </c>
      <c r="E80" s="18"/>
      <c r="F80" s="18">
        <f t="shared" si="4"/>
        <v>0</v>
      </c>
    </row>
    <row r="81" spans="1:6" s="16" customFormat="1" ht="31.5">
      <c r="A81" s="26" t="s">
        <v>907</v>
      </c>
      <c r="B81" s="73" t="s">
        <v>526</v>
      </c>
      <c r="C81" s="31" t="s">
        <v>89</v>
      </c>
      <c r="D81" s="27">
        <v>2</v>
      </c>
      <c r="E81" s="18"/>
      <c r="F81" s="18">
        <f t="shared" si="4"/>
        <v>0</v>
      </c>
    </row>
    <row r="82" spans="1:6" s="16" customFormat="1" ht="47.25">
      <c r="A82" s="26" t="s">
        <v>908</v>
      </c>
      <c r="B82" s="73" t="s">
        <v>527</v>
      </c>
      <c r="C82" s="31" t="s">
        <v>89</v>
      </c>
      <c r="D82" s="27">
        <v>1</v>
      </c>
      <c r="E82" s="18"/>
      <c r="F82" s="18">
        <f t="shared" si="4"/>
        <v>0</v>
      </c>
    </row>
    <row r="83" spans="1:6" s="16" customFormat="1" ht="31.5">
      <c r="A83" s="26" t="s">
        <v>909</v>
      </c>
      <c r="B83" s="73" t="s">
        <v>528</v>
      </c>
      <c r="C83" s="31" t="s">
        <v>87</v>
      </c>
      <c r="D83" s="27">
        <v>40</v>
      </c>
      <c r="E83" s="18"/>
      <c r="F83" s="18">
        <f t="shared" si="4"/>
        <v>0</v>
      </c>
    </row>
    <row r="84" spans="1:6" s="16" customFormat="1">
      <c r="A84" s="23"/>
      <c r="B84" s="32" t="s">
        <v>17</v>
      </c>
      <c r="C84" s="19"/>
      <c r="D84" s="28"/>
      <c r="E84" s="20"/>
      <c r="F84" s="20">
        <f>SUM(F75:F83)</f>
        <v>0</v>
      </c>
    </row>
    <row r="85" spans="1:6" s="16" customFormat="1" ht="40.5" customHeight="1">
      <c r="A85" s="89" t="s">
        <v>56</v>
      </c>
      <c r="B85" s="92" t="s">
        <v>529</v>
      </c>
      <c r="C85" s="30"/>
      <c r="D85" s="33"/>
      <c r="E85" s="30"/>
      <c r="F85" s="30"/>
    </row>
    <row r="86" spans="1:6" s="16" customFormat="1" ht="25.15" customHeight="1">
      <c r="A86" s="24"/>
      <c r="B86" s="93" t="s">
        <v>530</v>
      </c>
      <c r="C86" s="94"/>
      <c r="D86" s="94"/>
      <c r="E86" s="17"/>
      <c r="F86" s="34"/>
    </row>
    <row r="87" spans="1:6" s="16" customFormat="1" ht="78.75">
      <c r="A87" s="26" t="s">
        <v>910</v>
      </c>
      <c r="B87" s="73" t="s">
        <v>531</v>
      </c>
      <c r="C87" s="31" t="s">
        <v>89</v>
      </c>
      <c r="D87" s="27">
        <v>1</v>
      </c>
      <c r="E87" s="18"/>
      <c r="F87" s="18">
        <f t="shared" ref="F87:F107" si="5">ROUND(D87*E87,2)</f>
        <v>0</v>
      </c>
    </row>
    <row r="88" spans="1:6" s="16" customFormat="1" ht="47.25">
      <c r="A88" s="26" t="s">
        <v>911</v>
      </c>
      <c r="B88" s="73" t="s">
        <v>532</v>
      </c>
      <c r="C88" s="31" t="s">
        <v>89</v>
      </c>
      <c r="D88" s="27">
        <v>2</v>
      </c>
      <c r="E88" s="18"/>
      <c r="F88" s="18">
        <f t="shared" si="5"/>
        <v>0</v>
      </c>
    </row>
    <row r="89" spans="1:6" s="16" customFormat="1" ht="47.25">
      <c r="A89" s="26" t="s">
        <v>912</v>
      </c>
      <c r="B89" s="73" t="s">
        <v>533</v>
      </c>
      <c r="C89" s="31" t="s">
        <v>89</v>
      </c>
      <c r="D89" s="27">
        <v>1</v>
      </c>
      <c r="E89" s="18"/>
      <c r="F89" s="18">
        <f t="shared" si="5"/>
        <v>0</v>
      </c>
    </row>
    <row r="90" spans="1:6" s="16" customFormat="1" ht="47.25">
      <c r="A90" s="26" t="s">
        <v>913</v>
      </c>
      <c r="B90" s="73" t="s">
        <v>534</v>
      </c>
      <c r="C90" s="31" t="s">
        <v>87</v>
      </c>
      <c r="D90" s="27">
        <v>15</v>
      </c>
      <c r="E90" s="18"/>
      <c r="F90" s="18">
        <f t="shared" si="5"/>
        <v>0</v>
      </c>
    </row>
    <row r="91" spans="1:6" s="16" customFormat="1" ht="47.25">
      <c r="A91" s="26" t="s">
        <v>914</v>
      </c>
      <c r="B91" s="73" t="s">
        <v>535</v>
      </c>
      <c r="C91" s="31" t="s">
        <v>87</v>
      </c>
      <c r="D91" s="27">
        <v>10</v>
      </c>
      <c r="E91" s="18"/>
      <c r="F91" s="18">
        <f t="shared" si="5"/>
        <v>0</v>
      </c>
    </row>
    <row r="92" spans="1:6" s="16" customFormat="1" ht="22.5" customHeight="1">
      <c r="A92" s="24"/>
      <c r="B92" s="93" t="s">
        <v>536</v>
      </c>
      <c r="C92" s="94"/>
      <c r="D92" s="94"/>
      <c r="E92" s="17"/>
      <c r="F92" s="34"/>
    </row>
    <row r="93" spans="1:6" s="16" customFormat="1" ht="47.25">
      <c r="A93" s="26" t="s">
        <v>915</v>
      </c>
      <c r="B93" s="73" t="s">
        <v>537</v>
      </c>
      <c r="C93" s="31" t="s">
        <v>89</v>
      </c>
      <c r="D93" s="27">
        <v>2</v>
      </c>
      <c r="E93" s="18"/>
      <c r="F93" s="18">
        <f t="shared" si="5"/>
        <v>0</v>
      </c>
    </row>
    <row r="94" spans="1:6" s="16" customFormat="1" ht="47.25">
      <c r="A94" s="26" t="s">
        <v>916</v>
      </c>
      <c r="B94" s="73" t="s">
        <v>538</v>
      </c>
      <c r="C94" s="31" t="s">
        <v>89</v>
      </c>
      <c r="D94" s="27">
        <v>1</v>
      </c>
      <c r="E94" s="18"/>
      <c r="F94" s="18">
        <f t="shared" si="5"/>
        <v>0</v>
      </c>
    </row>
    <row r="95" spans="1:6" s="16" customFormat="1" ht="47.25">
      <c r="A95" s="26" t="s">
        <v>917</v>
      </c>
      <c r="B95" s="73" t="s">
        <v>539</v>
      </c>
      <c r="C95" s="31" t="s">
        <v>89</v>
      </c>
      <c r="D95" s="27">
        <v>2</v>
      </c>
      <c r="E95" s="18"/>
      <c r="F95" s="18">
        <f t="shared" si="5"/>
        <v>0</v>
      </c>
    </row>
    <row r="96" spans="1:6" s="16" customFormat="1" ht="47.25">
      <c r="A96" s="26" t="s">
        <v>918</v>
      </c>
      <c r="B96" s="73" t="s">
        <v>540</v>
      </c>
      <c r="C96" s="31" t="s">
        <v>89</v>
      </c>
      <c r="D96" s="27">
        <v>3</v>
      </c>
      <c r="E96" s="18"/>
      <c r="F96" s="18">
        <f t="shared" si="5"/>
        <v>0</v>
      </c>
    </row>
    <row r="97" spans="1:6" s="16" customFormat="1" ht="31.5">
      <c r="A97" s="26" t="s">
        <v>919</v>
      </c>
      <c r="B97" s="73" t="s">
        <v>541</v>
      </c>
      <c r="C97" s="31" t="s">
        <v>87</v>
      </c>
      <c r="D97" s="27">
        <v>21</v>
      </c>
      <c r="E97" s="18"/>
      <c r="F97" s="18">
        <f t="shared" si="5"/>
        <v>0</v>
      </c>
    </row>
    <row r="98" spans="1:6" s="16" customFormat="1" ht="18" customHeight="1">
      <c r="A98" s="24"/>
      <c r="B98" s="93" t="s">
        <v>542</v>
      </c>
      <c r="C98" s="94"/>
      <c r="D98" s="94"/>
      <c r="E98" s="17"/>
      <c r="F98" s="34"/>
    </row>
    <row r="99" spans="1:6" s="16" customFormat="1" ht="78.75">
      <c r="A99" s="26" t="s">
        <v>918</v>
      </c>
      <c r="B99" s="73" t="s">
        <v>543</v>
      </c>
      <c r="C99" s="31" t="s">
        <v>89</v>
      </c>
      <c r="D99" s="27">
        <v>1</v>
      </c>
      <c r="E99" s="18"/>
      <c r="F99" s="18">
        <f t="shared" si="5"/>
        <v>0</v>
      </c>
    </row>
    <row r="100" spans="1:6" s="16" customFormat="1" ht="47.25">
      <c r="A100" s="26" t="s">
        <v>919</v>
      </c>
      <c r="B100" s="73" t="s">
        <v>544</v>
      </c>
      <c r="C100" s="31" t="s">
        <v>89</v>
      </c>
      <c r="D100" s="27">
        <v>1</v>
      </c>
      <c r="E100" s="18"/>
      <c r="F100" s="18">
        <f t="shared" si="5"/>
        <v>0</v>
      </c>
    </row>
    <row r="101" spans="1:6" s="16" customFormat="1" ht="63">
      <c r="A101" s="26" t="s">
        <v>920</v>
      </c>
      <c r="B101" s="73" t="s">
        <v>545</v>
      </c>
      <c r="C101" s="31" t="s">
        <v>87</v>
      </c>
      <c r="D101" s="27">
        <v>6</v>
      </c>
      <c r="E101" s="18"/>
      <c r="F101" s="18">
        <f t="shared" si="5"/>
        <v>0</v>
      </c>
    </row>
    <row r="102" spans="1:6" s="16" customFormat="1" ht="31.5">
      <c r="A102" s="26" t="s">
        <v>921</v>
      </c>
      <c r="B102" s="73" t="s">
        <v>546</v>
      </c>
      <c r="C102" s="31" t="s">
        <v>87</v>
      </c>
      <c r="D102" s="27">
        <v>47</v>
      </c>
      <c r="E102" s="18"/>
      <c r="F102" s="18">
        <f t="shared" si="5"/>
        <v>0</v>
      </c>
    </row>
    <row r="103" spans="1:6" s="16" customFormat="1" ht="31.5">
      <c r="A103" s="26" t="s">
        <v>922</v>
      </c>
      <c r="B103" s="73" t="s">
        <v>547</v>
      </c>
      <c r="C103" s="31" t="s">
        <v>87</v>
      </c>
      <c r="D103" s="27">
        <v>6</v>
      </c>
      <c r="E103" s="18"/>
      <c r="F103" s="18">
        <f t="shared" si="5"/>
        <v>0</v>
      </c>
    </row>
    <row r="104" spans="1:6" s="16" customFormat="1" ht="31.5">
      <c r="A104" s="26" t="s">
        <v>923</v>
      </c>
      <c r="B104" s="73" t="s">
        <v>548</v>
      </c>
      <c r="C104" s="31" t="s">
        <v>87</v>
      </c>
      <c r="D104" s="27">
        <v>47</v>
      </c>
      <c r="E104" s="18"/>
      <c r="F104" s="18">
        <f t="shared" si="5"/>
        <v>0</v>
      </c>
    </row>
    <row r="105" spans="1:6" s="16" customFormat="1" ht="20.25" customHeight="1">
      <c r="A105" s="24"/>
      <c r="B105" s="93" t="s">
        <v>549</v>
      </c>
      <c r="C105" s="94"/>
      <c r="D105" s="94"/>
      <c r="E105" s="17"/>
      <c r="F105" s="34"/>
    </row>
    <row r="106" spans="1:6" s="16" customFormat="1" ht="47.25">
      <c r="A106" s="26" t="s">
        <v>924</v>
      </c>
      <c r="B106" s="73" t="s">
        <v>550</v>
      </c>
      <c r="C106" s="31" t="s">
        <v>87</v>
      </c>
      <c r="D106" s="27">
        <v>25</v>
      </c>
      <c r="E106" s="18"/>
      <c r="F106" s="18">
        <f t="shared" si="5"/>
        <v>0</v>
      </c>
    </row>
    <row r="107" spans="1:6" s="16" customFormat="1" ht="47.25">
      <c r="A107" s="26" t="s">
        <v>925</v>
      </c>
      <c r="B107" s="73" t="s">
        <v>551</v>
      </c>
      <c r="C107" s="31" t="s">
        <v>87</v>
      </c>
      <c r="D107" s="27">
        <v>7.5</v>
      </c>
      <c r="E107" s="18"/>
      <c r="F107" s="18">
        <f t="shared" si="5"/>
        <v>0</v>
      </c>
    </row>
    <row r="108" spans="1:6" s="16" customFormat="1">
      <c r="A108" s="23"/>
      <c r="B108" s="32" t="s">
        <v>17</v>
      </c>
      <c r="C108" s="19"/>
      <c r="D108" s="28"/>
      <c r="E108" s="20"/>
      <c r="F108" s="20">
        <f>SUM(F87:F107)</f>
        <v>0</v>
      </c>
    </row>
    <row r="109" spans="1:6" s="2" customFormat="1" ht="20.85" customHeight="1">
      <c r="A109" s="175" t="s">
        <v>6</v>
      </c>
      <c r="B109" s="216" t="s">
        <v>7</v>
      </c>
      <c r="C109" s="216"/>
      <c r="D109" s="216"/>
      <c r="E109" s="216"/>
      <c r="F109" s="216"/>
    </row>
    <row r="110" spans="1:6" s="145" customFormat="1" ht="22.5" customHeight="1">
      <c r="A110" s="176">
        <v>1</v>
      </c>
      <c r="B110" s="224" t="str">
        <f>B6</f>
        <v>Сеточный ограждение / Mesh fencing</v>
      </c>
      <c r="C110" s="225"/>
      <c r="D110" s="225"/>
      <c r="E110" s="226"/>
      <c r="F110" s="180">
        <f>F50</f>
        <v>0</v>
      </c>
    </row>
    <row r="111" spans="1:6" s="145" customFormat="1" ht="38.25" customHeight="1">
      <c r="A111" s="176">
        <v>2</v>
      </c>
      <c r="B111" s="177" t="str">
        <f>B51</f>
        <v>Внутриплощадочные трубопроводы НВ / 'On-site pipelines NV</v>
      </c>
      <c r="C111" s="178"/>
      <c r="D111" s="178"/>
      <c r="E111" s="179"/>
      <c r="F111" s="180">
        <f>F63+F55</f>
        <v>0</v>
      </c>
    </row>
    <row r="112" spans="1:6" s="145" customFormat="1" ht="38.450000000000003" customHeight="1">
      <c r="A112" s="176">
        <v>3</v>
      </c>
      <c r="B112" s="177" t="str">
        <f>B64</f>
        <v xml:space="preserve"> Площадка НРР-зоны 1 Внешнее электроснабжение / Outdoor power supply</v>
      </c>
      <c r="C112" s="178"/>
      <c r="D112" s="178"/>
      <c r="E112" s="179"/>
      <c r="F112" s="180">
        <f>F108+F84+F73</f>
        <v>0</v>
      </c>
    </row>
    <row r="113" spans="1:6" s="145" customFormat="1" ht="20.85" customHeight="1">
      <c r="A113" s="175" t="s">
        <v>6</v>
      </c>
      <c r="B113" s="227" t="s">
        <v>8</v>
      </c>
      <c r="C113" s="227"/>
      <c r="D113" s="227"/>
      <c r="E113" s="227"/>
      <c r="F113" s="181">
        <f>SUM(F110:F112)</f>
        <v>0</v>
      </c>
    </row>
    <row r="114" spans="1:6" s="182" customFormat="1" ht="28.5" customHeight="1">
      <c r="A114" s="220" t="s">
        <v>9</v>
      </c>
      <c r="B114" s="220"/>
      <c r="C114" s="220"/>
      <c r="D114" s="220"/>
      <c r="E114" s="220"/>
      <c r="F114" s="220"/>
    </row>
    <row r="115" spans="1:6" s="182" customFormat="1" ht="194.45" customHeight="1">
      <c r="A115" s="220" t="s">
        <v>10</v>
      </c>
      <c r="B115" s="220"/>
      <c r="C115" s="220"/>
      <c r="D115" s="220"/>
      <c r="E115" s="220"/>
      <c r="F115" s="220"/>
    </row>
    <row r="116" spans="1:6" s="182" customFormat="1" ht="45.6" customHeight="1">
      <c r="A116" s="220" t="s">
        <v>11</v>
      </c>
      <c r="B116" s="220"/>
      <c r="C116" s="220"/>
      <c r="D116" s="220"/>
      <c r="E116" s="220"/>
      <c r="F116" s="220"/>
    </row>
    <row r="117" spans="1:6" s="182" customFormat="1" ht="169.35" customHeight="1">
      <c r="A117" s="220" t="s">
        <v>12</v>
      </c>
      <c r="B117" s="220"/>
      <c r="C117" s="220"/>
      <c r="D117" s="220"/>
      <c r="E117" s="220"/>
      <c r="F117" s="220"/>
    </row>
    <row r="118" spans="1:6" s="186" customFormat="1">
      <c r="A118" s="183"/>
      <c r="B118" s="184"/>
      <c r="C118" s="183"/>
      <c r="D118" s="185"/>
      <c r="E118" s="183"/>
      <c r="F118" s="183"/>
    </row>
    <row r="119" spans="1:6" s="186" customFormat="1">
      <c r="A119" s="183"/>
      <c r="B119" s="184"/>
      <c r="C119" s="183"/>
      <c r="D119" s="185"/>
      <c r="E119" s="183"/>
      <c r="F119" s="183"/>
    </row>
    <row r="120" spans="1:6" s="189" customFormat="1">
      <c r="A120" s="187"/>
      <c r="B120" s="188" t="s">
        <v>13</v>
      </c>
      <c r="C120" s="187"/>
      <c r="D120" s="185"/>
      <c r="E120" s="183"/>
      <c r="F120" s="183"/>
    </row>
    <row r="121" spans="1:6" s="189" customFormat="1">
      <c r="A121" s="187"/>
      <c r="B121" s="190" t="s">
        <v>14</v>
      </c>
      <c r="C121" s="187"/>
      <c r="D121" s="185"/>
      <c r="E121" s="183"/>
      <c r="F121" s="183"/>
    </row>
    <row r="122" spans="1:6" s="189" customFormat="1">
      <c r="A122" s="187"/>
      <c r="B122" s="190"/>
      <c r="C122" s="187"/>
      <c r="D122" s="185"/>
      <c r="E122" s="183"/>
      <c r="F122" s="183"/>
    </row>
    <row r="123" spans="1:6" s="189" customFormat="1">
      <c r="A123" s="187"/>
      <c r="B123" s="182"/>
      <c r="C123" s="187"/>
      <c r="D123" s="185"/>
      <c r="E123" s="183"/>
      <c r="F123" s="183"/>
    </row>
    <row r="124" spans="1:6" s="189" customFormat="1">
      <c r="A124" s="187"/>
      <c r="B124" s="182"/>
      <c r="C124" s="187"/>
      <c r="D124" s="185"/>
      <c r="E124" s="183"/>
      <c r="F124" s="183"/>
    </row>
    <row r="125" spans="1:6" s="189" customFormat="1">
      <c r="A125" s="187"/>
      <c r="B125" s="182" t="s">
        <v>15</v>
      </c>
      <c r="C125" s="187"/>
      <c r="D125" s="185"/>
      <c r="E125" s="183"/>
      <c r="F125" s="183"/>
    </row>
    <row r="126" spans="1:6" s="189" customFormat="1">
      <c r="A126" s="187"/>
      <c r="B126" s="182" t="s">
        <v>16</v>
      </c>
      <c r="C126" s="187"/>
      <c r="D126" s="185"/>
      <c r="E126" s="183"/>
      <c r="F126" s="183"/>
    </row>
  </sheetData>
  <protectedRanges>
    <protectedRange sqref="E4" name="Range1"/>
  </protectedRanges>
  <mergeCells count="9">
    <mergeCell ref="A114:F114"/>
    <mergeCell ref="A115:F115"/>
    <mergeCell ref="A116:F116"/>
    <mergeCell ref="A117:F117"/>
    <mergeCell ref="A2:F2"/>
    <mergeCell ref="A3:F3"/>
    <mergeCell ref="B110:E110"/>
    <mergeCell ref="B113:E113"/>
    <mergeCell ref="B109:F109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A0F4-2E26-4E69-8C5B-C660A12BD62E}">
  <sheetPr>
    <tabColor rgb="FF00B050"/>
  </sheetPr>
  <dimension ref="A1:F93"/>
  <sheetViews>
    <sheetView zoomScale="85" zoomScaleNormal="85" workbookViewId="0">
      <selection activeCell="F1" sqref="F1"/>
    </sheetView>
  </sheetViews>
  <sheetFormatPr defaultColWidth="8.85546875" defaultRowHeight="15.75"/>
  <cols>
    <col min="1" max="1" width="9.140625" style="22" customWidth="1"/>
    <col min="2" max="2" width="52.85546875" style="25" customWidth="1"/>
    <col min="3" max="3" width="16.140625" style="25" customWidth="1"/>
    <col min="4" max="4" width="15.85546875" style="29" customWidth="1"/>
    <col min="5" max="6" width="16.85546875" style="22" customWidth="1"/>
    <col min="7" max="16384" width="8.85546875" style="16"/>
  </cols>
  <sheetData>
    <row r="1" spans="1:6" s="2" customFormat="1" ht="20.45" customHeight="1">
      <c r="A1" s="65"/>
      <c r="B1" s="66"/>
      <c r="C1" s="65"/>
      <c r="D1" s="67"/>
      <c r="E1" s="68" t="s">
        <v>107</v>
      </c>
      <c r="F1" s="69"/>
    </row>
    <row r="2" spans="1:6" s="70" customFormat="1" ht="50.45" customHeight="1">
      <c r="A2" s="213" t="str">
        <f>SUM!A12</f>
        <v xml:space="preserve">ВЕДОМОСТЬ ОБЪЕМОВ РАБОТ / BILL OF QUANTITIES </v>
      </c>
      <c r="B2" s="213"/>
      <c r="C2" s="213"/>
      <c r="D2" s="213"/>
      <c r="E2" s="213"/>
      <c r="F2" s="213"/>
    </row>
    <row r="3" spans="1:6" s="36" customFormat="1" ht="60.75" customHeight="1">
      <c r="A3" s="214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14"/>
      <c r="C3" s="214"/>
      <c r="D3" s="214"/>
      <c r="E3" s="214"/>
      <c r="F3" s="214"/>
    </row>
    <row r="4" spans="1:6" s="2" customFormat="1" ht="64.349999999999994" customHeight="1">
      <c r="A4" s="71" t="s">
        <v>114</v>
      </c>
      <c r="B4" s="71" t="s">
        <v>92</v>
      </c>
      <c r="C4" s="71" t="s">
        <v>115</v>
      </c>
      <c r="D4" s="72" t="s">
        <v>116</v>
      </c>
      <c r="E4" s="87" t="s">
        <v>99</v>
      </c>
      <c r="F4" s="88" t="s">
        <v>100</v>
      </c>
    </row>
    <row r="5" spans="1:6" ht="24" customHeight="1">
      <c r="A5" s="89" t="s">
        <v>94</v>
      </c>
      <c r="B5" s="92" t="s">
        <v>160</v>
      </c>
      <c r="C5" s="30"/>
      <c r="D5" s="33"/>
      <c r="E5" s="30"/>
      <c r="F5" s="30"/>
    </row>
    <row r="6" spans="1:6">
      <c r="A6" s="89" t="s">
        <v>147</v>
      </c>
      <c r="B6" s="92" t="s">
        <v>808</v>
      </c>
      <c r="C6" s="30"/>
      <c r="D6" s="33"/>
      <c r="E6" s="30"/>
      <c r="F6" s="30"/>
    </row>
    <row r="7" spans="1:6" ht="78.75">
      <c r="A7" s="162"/>
      <c r="B7" s="163" t="s">
        <v>802</v>
      </c>
      <c r="C7" s="164"/>
      <c r="D7" s="164"/>
      <c r="E7" s="165"/>
      <c r="F7" s="165"/>
    </row>
    <row r="8" spans="1:6" ht="31.5">
      <c r="A8" s="26" t="s">
        <v>18</v>
      </c>
      <c r="B8" s="73" t="s">
        <v>664</v>
      </c>
      <c r="C8" s="31" t="s">
        <v>90</v>
      </c>
      <c r="D8" s="27">
        <v>39.6</v>
      </c>
      <c r="E8" s="18"/>
      <c r="F8" s="18">
        <f t="shared" ref="F8:F71" si="0">ROUND(D8*E8,2)</f>
        <v>0</v>
      </c>
    </row>
    <row r="9" spans="1:6">
      <c r="A9" s="26" t="s">
        <v>19</v>
      </c>
      <c r="B9" s="73" t="s">
        <v>665</v>
      </c>
      <c r="C9" s="31" t="s">
        <v>90</v>
      </c>
      <c r="D9" s="27">
        <v>22.88</v>
      </c>
      <c r="E9" s="18"/>
      <c r="F9" s="18">
        <f t="shared" si="0"/>
        <v>0</v>
      </c>
    </row>
    <row r="10" spans="1:6">
      <c r="A10" s="26" t="s">
        <v>20</v>
      </c>
      <c r="B10" s="73" t="s">
        <v>665</v>
      </c>
      <c r="C10" s="31" t="s">
        <v>90</v>
      </c>
      <c r="D10" s="27">
        <v>22.88</v>
      </c>
      <c r="E10" s="18"/>
      <c r="F10" s="18">
        <f t="shared" si="0"/>
        <v>0</v>
      </c>
    </row>
    <row r="11" spans="1:6">
      <c r="A11" s="26" t="s">
        <v>21</v>
      </c>
      <c r="B11" s="73" t="s">
        <v>666</v>
      </c>
      <c r="C11" s="31" t="s">
        <v>90</v>
      </c>
      <c r="D11" s="27">
        <v>27.45</v>
      </c>
      <c r="E11" s="18"/>
      <c r="F11" s="18">
        <f t="shared" si="0"/>
        <v>0</v>
      </c>
    </row>
    <row r="12" spans="1:6">
      <c r="A12" s="26" t="s">
        <v>22</v>
      </c>
      <c r="B12" s="73" t="s">
        <v>666</v>
      </c>
      <c r="C12" s="31" t="s">
        <v>90</v>
      </c>
      <c r="D12" s="27">
        <v>27.45</v>
      </c>
      <c r="E12" s="18"/>
      <c r="F12" s="18">
        <f t="shared" si="0"/>
        <v>0</v>
      </c>
    </row>
    <row r="13" spans="1:6">
      <c r="A13" s="26" t="s">
        <v>23</v>
      </c>
      <c r="B13" s="73" t="s">
        <v>665</v>
      </c>
      <c r="C13" s="31" t="s">
        <v>90</v>
      </c>
      <c r="D13" s="27">
        <v>45.76</v>
      </c>
      <c r="E13" s="18"/>
      <c r="F13" s="18">
        <f t="shared" si="0"/>
        <v>0</v>
      </c>
    </row>
    <row r="14" spans="1:6">
      <c r="A14" s="26" t="s">
        <v>24</v>
      </c>
      <c r="B14" s="73" t="s">
        <v>667</v>
      </c>
      <c r="C14" s="31" t="s">
        <v>90</v>
      </c>
      <c r="D14" s="27">
        <v>15</v>
      </c>
      <c r="E14" s="18"/>
      <c r="F14" s="18">
        <f t="shared" si="0"/>
        <v>0</v>
      </c>
    </row>
    <row r="15" spans="1:6">
      <c r="A15" s="26" t="s">
        <v>26</v>
      </c>
      <c r="B15" s="73" t="s">
        <v>668</v>
      </c>
      <c r="C15" s="31" t="s">
        <v>90</v>
      </c>
      <c r="D15" s="27">
        <v>85.5</v>
      </c>
      <c r="E15" s="18"/>
      <c r="F15" s="18">
        <f t="shared" si="0"/>
        <v>0</v>
      </c>
    </row>
    <row r="16" spans="1:6">
      <c r="A16" s="26" t="s">
        <v>28</v>
      </c>
      <c r="B16" s="73" t="s">
        <v>669</v>
      </c>
      <c r="C16" s="31" t="s">
        <v>90</v>
      </c>
      <c r="D16" s="27">
        <v>49.16</v>
      </c>
      <c r="E16" s="18"/>
      <c r="F16" s="18">
        <f t="shared" si="0"/>
        <v>0</v>
      </c>
    </row>
    <row r="17" spans="1:6" ht="31.5">
      <c r="A17" s="26" t="s">
        <v>29</v>
      </c>
      <c r="B17" s="73" t="s">
        <v>670</v>
      </c>
      <c r="C17" s="31" t="s">
        <v>90</v>
      </c>
      <c r="D17" s="27">
        <v>12</v>
      </c>
      <c r="E17" s="18"/>
      <c r="F17" s="18">
        <f t="shared" si="0"/>
        <v>0</v>
      </c>
    </row>
    <row r="18" spans="1:6" ht="31.5">
      <c r="A18" s="26" t="s">
        <v>30</v>
      </c>
      <c r="B18" s="73" t="s">
        <v>671</v>
      </c>
      <c r="C18" s="31" t="s">
        <v>90</v>
      </c>
      <c r="D18" s="27">
        <v>14.4</v>
      </c>
      <c r="E18" s="18"/>
      <c r="F18" s="18">
        <f t="shared" si="0"/>
        <v>0</v>
      </c>
    </row>
    <row r="19" spans="1:6" ht="31.5">
      <c r="A19" s="26" t="s">
        <v>803</v>
      </c>
      <c r="B19" s="73" t="s">
        <v>672</v>
      </c>
      <c r="C19" s="31" t="s">
        <v>90</v>
      </c>
      <c r="D19" s="27">
        <v>1.776</v>
      </c>
      <c r="E19" s="18"/>
      <c r="F19" s="18">
        <f t="shared" si="0"/>
        <v>0</v>
      </c>
    </row>
    <row r="20" spans="1:6" ht="31.5">
      <c r="A20" s="26" t="s">
        <v>804</v>
      </c>
      <c r="B20" s="73" t="s">
        <v>673</v>
      </c>
      <c r="C20" s="31" t="s">
        <v>90</v>
      </c>
      <c r="D20" s="27">
        <v>4.2</v>
      </c>
      <c r="E20" s="18"/>
      <c r="F20" s="18">
        <f t="shared" si="0"/>
        <v>0</v>
      </c>
    </row>
    <row r="21" spans="1:6" ht="31.5">
      <c r="A21" s="26" t="s">
        <v>805</v>
      </c>
      <c r="B21" s="73" t="s">
        <v>674</v>
      </c>
      <c r="C21" s="31" t="s">
        <v>90</v>
      </c>
      <c r="D21" s="27">
        <v>4.2</v>
      </c>
      <c r="E21" s="18"/>
      <c r="F21" s="18">
        <f t="shared" si="0"/>
        <v>0</v>
      </c>
    </row>
    <row r="22" spans="1:6" ht="31.5">
      <c r="A22" s="26" t="s">
        <v>806</v>
      </c>
      <c r="B22" s="73" t="s">
        <v>675</v>
      </c>
      <c r="C22" s="31" t="s">
        <v>90</v>
      </c>
      <c r="D22" s="27">
        <v>4.0949999999999998</v>
      </c>
      <c r="E22" s="18"/>
      <c r="F22" s="18">
        <f t="shared" si="0"/>
        <v>0</v>
      </c>
    </row>
    <row r="23" spans="1:6" ht="31.5">
      <c r="A23" s="26" t="s">
        <v>807</v>
      </c>
      <c r="B23" s="73" t="s">
        <v>676</v>
      </c>
      <c r="C23" s="31" t="s">
        <v>90</v>
      </c>
      <c r="D23" s="27">
        <v>14.28</v>
      </c>
      <c r="E23" s="18"/>
      <c r="F23" s="18">
        <f t="shared" si="0"/>
        <v>0</v>
      </c>
    </row>
    <row r="24" spans="1:6">
      <c r="A24" s="23"/>
      <c r="B24" s="32" t="s">
        <v>17</v>
      </c>
      <c r="C24" s="19"/>
      <c r="D24" s="28"/>
      <c r="E24" s="20"/>
      <c r="F24" s="20">
        <f>SUM(F7:F23)</f>
        <v>0</v>
      </c>
    </row>
    <row r="25" spans="1:6" ht="19.5" customHeight="1">
      <c r="A25" s="89" t="s">
        <v>139</v>
      </c>
      <c r="B25" s="92" t="s">
        <v>616</v>
      </c>
      <c r="C25" s="30"/>
      <c r="D25" s="33"/>
      <c r="E25" s="30"/>
      <c r="F25" s="30"/>
    </row>
    <row r="26" spans="1:6" ht="47.25">
      <c r="A26" s="26" t="s">
        <v>31</v>
      </c>
      <c r="B26" s="73" t="s">
        <v>677</v>
      </c>
      <c r="C26" s="31" t="s">
        <v>91</v>
      </c>
      <c r="D26" s="27">
        <v>20</v>
      </c>
      <c r="E26" s="18"/>
      <c r="F26" s="18">
        <f t="shared" si="0"/>
        <v>0</v>
      </c>
    </row>
    <row r="27" spans="1:6" ht="31.5">
      <c r="A27" s="26" t="s">
        <v>32</v>
      </c>
      <c r="B27" s="73" t="s">
        <v>563</v>
      </c>
      <c r="C27" s="31" t="s">
        <v>86</v>
      </c>
      <c r="D27" s="27">
        <v>0.54</v>
      </c>
      <c r="E27" s="18"/>
      <c r="F27" s="18">
        <f t="shared" si="0"/>
        <v>0</v>
      </c>
    </row>
    <row r="28" spans="1:6" ht="47.25">
      <c r="A28" s="26" t="s">
        <v>33</v>
      </c>
      <c r="B28" s="73" t="s">
        <v>678</v>
      </c>
      <c r="C28" s="31" t="s">
        <v>88</v>
      </c>
      <c r="D28" s="27">
        <v>0.187</v>
      </c>
      <c r="E28" s="18"/>
      <c r="F28" s="18">
        <f t="shared" si="0"/>
        <v>0</v>
      </c>
    </row>
    <row r="29" spans="1:6" ht="63">
      <c r="A29" s="26" t="s">
        <v>34</v>
      </c>
      <c r="B29" s="73" t="s">
        <v>679</v>
      </c>
      <c r="C29" s="31" t="s">
        <v>86</v>
      </c>
      <c r="D29" s="27">
        <v>0.54</v>
      </c>
      <c r="E29" s="18"/>
      <c r="F29" s="18">
        <f t="shared" si="0"/>
        <v>0</v>
      </c>
    </row>
    <row r="30" spans="1:6" ht="94.5">
      <c r="A30" s="26" t="s">
        <v>35</v>
      </c>
      <c r="B30" s="73" t="s">
        <v>680</v>
      </c>
      <c r="C30" s="31" t="s">
        <v>91</v>
      </c>
      <c r="D30" s="27">
        <v>18</v>
      </c>
      <c r="E30" s="18"/>
      <c r="F30" s="18">
        <f t="shared" si="0"/>
        <v>0</v>
      </c>
    </row>
    <row r="31" spans="1:6">
      <c r="A31" s="23"/>
      <c r="B31" s="32" t="s">
        <v>17</v>
      </c>
      <c r="C31" s="19"/>
      <c r="D31" s="28"/>
      <c r="E31" s="20"/>
      <c r="F31" s="20">
        <f>SUM(F26:F30)</f>
        <v>0</v>
      </c>
    </row>
    <row r="32" spans="1:6">
      <c r="A32" s="89" t="s">
        <v>93</v>
      </c>
      <c r="B32" s="92" t="s">
        <v>559</v>
      </c>
      <c r="C32" s="30"/>
      <c r="D32" s="33"/>
      <c r="E32" s="30"/>
      <c r="F32" s="30"/>
    </row>
    <row r="33" spans="1:6" ht="31.5">
      <c r="A33" s="26" t="s">
        <v>54</v>
      </c>
      <c r="B33" s="73" t="s">
        <v>560</v>
      </c>
      <c r="C33" s="31" t="s">
        <v>86</v>
      </c>
      <c r="D33" s="27">
        <v>0.3</v>
      </c>
      <c r="E33" s="18"/>
      <c r="F33" s="18">
        <f t="shared" si="0"/>
        <v>0</v>
      </c>
    </row>
    <row r="34" spans="1:6" ht="47.25">
      <c r="A34" s="26" t="s">
        <v>55</v>
      </c>
      <c r="B34" s="73" t="s">
        <v>681</v>
      </c>
      <c r="C34" s="31" t="s">
        <v>88</v>
      </c>
      <c r="D34" s="27">
        <v>0.122</v>
      </c>
      <c r="E34" s="18"/>
      <c r="F34" s="18">
        <f t="shared" si="0"/>
        <v>0</v>
      </c>
    </row>
    <row r="35" spans="1:6" ht="63">
      <c r="A35" s="26" t="s">
        <v>56</v>
      </c>
      <c r="B35" s="73" t="s">
        <v>682</v>
      </c>
      <c r="C35" s="31" t="s">
        <v>86</v>
      </c>
      <c r="D35" s="27">
        <v>0.3</v>
      </c>
      <c r="E35" s="18"/>
      <c r="F35" s="18">
        <f t="shared" si="0"/>
        <v>0</v>
      </c>
    </row>
    <row r="36" spans="1:6" ht="31.5">
      <c r="A36" s="26" t="s">
        <v>57</v>
      </c>
      <c r="B36" s="73" t="s">
        <v>562</v>
      </c>
      <c r="C36" s="31" t="s">
        <v>91</v>
      </c>
      <c r="D36" s="27">
        <v>6</v>
      </c>
      <c r="E36" s="18"/>
      <c r="F36" s="18">
        <f t="shared" si="0"/>
        <v>0</v>
      </c>
    </row>
    <row r="37" spans="1:6" ht="25.35" customHeight="1">
      <c r="A37" s="26" t="s">
        <v>58</v>
      </c>
      <c r="B37" s="73" t="s">
        <v>683</v>
      </c>
      <c r="C37" s="31" t="s">
        <v>91</v>
      </c>
      <c r="D37" s="27">
        <v>2</v>
      </c>
      <c r="E37" s="18"/>
      <c r="F37" s="18">
        <f t="shared" si="0"/>
        <v>0</v>
      </c>
    </row>
    <row r="38" spans="1:6">
      <c r="A38" s="23"/>
      <c r="B38" s="32" t="s">
        <v>17</v>
      </c>
      <c r="C38" s="19"/>
      <c r="D38" s="28"/>
      <c r="E38" s="20"/>
      <c r="F38" s="20">
        <f>SUM(F33:F37)</f>
        <v>0</v>
      </c>
    </row>
    <row r="39" spans="1:6">
      <c r="A39" s="89" t="s">
        <v>141</v>
      </c>
      <c r="B39" s="92" t="s">
        <v>809</v>
      </c>
      <c r="C39" s="30"/>
      <c r="D39" s="33"/>
      <c r="E39" s="30"/>
      <c r="F39" s="30"/>
    </row>
    <row r="40" spans="1:6" ht="47.25">
      <c r="A40" s="26" t="s">
        <v>63</v>
      </c>
      <c r="B40" s="73" t="s">
        <v>569</v>
      </c>
      <c r="C40" s="31" t="s">
        <v>91</v>
      </c>
      <c r="D40" s="27">
        <f>0.062*100</f>
        <v>6.2</v>
      </c>
      <c r="E40" s="18"/>
      <c r="F40" s="18">
        <f t="shared" si="0"/>
        <v>0</v>
      </c>
    </row>
    <row r="41" spans="1:6" ht="47.25">
      <c r="A41" s="26" t="s">
        <v>64</v>
      </c>
      <c r="B41" s="73" t="s">
        <v>570</v>
      </c>
      <c r="C41" s="31" t="s">
        <v>86</v>
      </c>
      <c r="D41" s="27">
        <v>0.50590000000000002</v>
      </c>
      <c r="E41" s="18"/>
      <c r="F41" s="18">
        <f t="shared" si="0"/>
        <v>0</v>
      </c>
    </row>
    <row r="42" spans="1:6" ht="63">
      <c r="A42" s="26" t="s">
        <v>65</v>
      </c>
      <c r="B42" s="73" t="s">
        <v>684</v>
      </c>
      <c r="C42" s="31" t="s">
        <v>91</v>
      </c>
      <c r="D42" s="27">
        <f>0.062*100</f>
        <v>6.2</v>
      </c>
      <c r="E42" s="18"/>
      <c r="F42" s="18">
        <f t="shared" si="0"/>
        <v>0</v>
      </c>
    </row>
    <row r="43" spans="1:6" ht="31.5">
      <c r="A43" s="26" t="s">
        <v>66</v>
      </c>
      <c r="B43" s="73" t="s">
        <v>685</v>
      </c>
      <c r="C43" s="31" t="s">
        <v>91</v>
      </c>
      <c r="D43" s="27">
        <f>0.062*100</f>
        <v>6.2</v>
      </c>
      <c r="E43" s="18"/>
      <c r="F43" s="18">
        <f t="shared" si="0"/>
        <v>0</v>
      </c>
    </row>
    <row r="44" spans="1:6">
      <c r="A44" s="23"/>
      <c r="B44" s="32" t="s">
        <v>17</v>
      </c>
      <c r="C44" s="19"/>
      <c r="D44" s="28"/>
      <c r="E44" s="20"/>
      <c r="F44" s="20">
        <f>SUM(F40:F43)</f>
        <v>0</v>
      </c>
    </row>
    <row r="45" spans="1:6">
      <c r="A45" s="89" t="s">
        <v>148</v>
      </c>
      <c r="B45" s="92" t="s">
        <v>571</v>
      </c>
      <c r="C45" s="30"/>
      <c r="D45" s="33"/>
      <c r="E45" s="30"/>
      <c r="F45" s="30"/>
    </row>
    <row r="46" spans="1:6" ht="47.25">
      <c r="A46" s="26" t="s">
        <v>68</v>
      </c>
      <c r="B46" s="73" t="s">
        <v>137</v>
      </c>
      <c r="C46" s="31" t="s">
        <v>91</v>
      </c>
      <c r="D46" s="27">
        <v>26</v>
      </c>
      <c r="E46" s="18"/>
      <c r="F46" s="18">
        <f t="shared" si="0"/>
        <v>0</v>
      </c>
    </row>
    <row r="47" spans="1:6" ht="47.25">
      <c r="A47" s="26" t="s">
        <v>72</v>
      </c>
      <c r="B47" s="73" t="s">
        <v>572</v>
      </c>
      <c r="C47" s="31" t="s">
        <v>91</v>
      </c>
      <c r="D47" s="27">
        <v>26</v>
      </c>
      <c r="E47" s="18"/>
      <c r="F47" s="18">
        <f t="shared" si="0"/>
        <v>0</v>
      </c>
    </row>
    <row r="48" spans="1:6">
      <c r="A48" s="23"/>
      <c r="B48" s="32" t="s">
        <v>17</v>
      </c>
      <c r="C48" s="19"/>
      <c r="D48" s="28"/>
      <c r="E48" s="20"/>
      <c r="F48" s="20">
        <f>SUM(F46:F47)</f>
        <v>0</v>
      </c>
    </row>
    <row r="49" spans="1:6" ht="31.5">
      <c r="A49" s="89" t="s">
        <v>118</v>
      </c>
      <c r="B49" s="92" t="s">
        <v>686</v>
      </c>
      <c r="C49" s="30"/>
      <c r="D49" s="33"/>
      <c r="E49" s="30"/>
      <c r="F49" s="30"/>
    </row>
    <row r="50" spans="1:6" ht="47.25">
      <c r="A50" s="26" t="s">
        <v>75</v>
      </c>
      <c r="B50" s="73" t="s">
        <v>687</v>
      </c>
      <c r="C50" s="31" t="s">
        <v>89</v>
      </c>
      <c r="D50" s="27">
        <f>1+2</f>
        <v>3</v>
      </c>
      <c r="E50" s="18"/>
      <c r="F50" s="18">
        <f t="shared" si="0"/>
        <v>0</v>
      </c>
    </row>
    <row r="51" spans="1:6" ht="31.5">
      <c r="A51" s="26" t="s">
        <v>76</v>
      </c>
      <c r="B51" s="73" t="s">
        <v>688</v>
      </c>
      <c r="C51" s="31" t="s">
        <v>89</v>
      </c>
      <c r="D51" s="27">
        <v>2</v>
      </c>
      <c r="E51" s="18"/>
      <c r="F51" s="18">
        <f t="shared" si="0"/>
        <v>0</v>
      </c>
    </row>
    <row r="52" spans="1:6" ht="31.5">
      <c r="A52" s="26" t="s">
        <v>69</v>
      </c>
      <c r="B52" s="73" t="s">
        <v>689</v>
      </c>
      <c r="C52" s="31" t="s">
        <v>87</v>
      </c>
      <c r="D52" s="27">
        <v>3</v>
      </c>
      <c r="E52" s="18"/>
      <c r="F52" s="18">
        <f t="shared" si="0"/>
        <v>0</v>
      </c>
    </row>
    <row r="53" spans="1:6" ht="31.5">
      <c r="A53" s="26" t="s">
        <v>77</v>
      </c>
      <c r="B53" s="73" t="s">
        <v>690</v>
      </c>
      <c r="C53" s="31" t="s">
        <v>87</v>
      </c>
      <c r="D53" s="27">
        <v>8</v>
      </c>
      <c r="E53" s="18"/>
      <c r="F53" s="18">
        <f t="shared" si="0"/>
        <v>0</v>
      </c>
    </row>
    <row r="54" spans="1:6">
      <c r="A54" s="26" t="s">
        <v>78</v>
      </c>
      <c r="B54" s="73" t="s">
        <v>691</v>
      </c>
      <c r="C54" s="31" t="s">
        <v>89</v>
      </c>
      <c r="D54" s="27">
        <v>4</v>
      </c>
      <c r="E54" s="18"/>
      <c r="F54" s="18">
        <f t="shared" si="0"/>
        <v>0</v>
      </c>
    </row>
    <row r="55" spans="1:6">
      <c r="A55" s="26" t="s">
        <v>193</v>
      </c>
      <c r="B55" s="73" t="s">
        <v>692</v>
      </c>
      <c r="C55" s="31" t="s">
        <v>89</v>
      </c>
      <c r="D55" s="27">
        <v>6</v>
      </c>
      <c r="E55" s="18"/>
      <c r="F55" s="18">
        <f t="shared" si="0"/>
        <v>0</v>
      </c>
    </row>
    <row r="56" spans="1:6">
      <c r="A56" s="26" t="s">
        <v>269</v>
      </c>
      <c r="B56" s="73" t="s">
        <v>693</v>
      </c>
      <c r="C56" s="31" t="s">
        <v>89</v>
      </c>
      <c r="D56" s="27">
        <v>2</v>
      </c>
      <c r="E56" s="18"/>
      <c r="F56" s="18">
        <f t="shared" si="0"/>
        <v>0</v>
      </c>
    </row>
    <row r="57" spans="1:6">
      <c r="A57" s="26" t="s">
        <v>270</v>
      </c>
      <c r="B57" s="73" t="s">
        <v>694</v>
      </c>
      <c r="C57" s="31" t="s">
        <v>89</v>
      </c>
      <c r="D57" s="27">
        <v>1</v>
      </c>
      <c r="E57" s="18"/>
      <c r="F57" s="18">
        <f t="shared" si="0"/>
        <v>0</v>
      </c>
    </row>
    <row r="58" spans="1:6" ht="31.5">
      <c r="A58" s="26" t="s">
        <v>271</v>
      </c>
      <c r="B58" s="73" t="s">
        <v>695</v>
      </c>
      <c r="C58" s="31" t="s">
        <v>89</v>
      </c>
      <c r="D58" s="27">
        <v>4</v>
      </c>
      <c r="E58" s="18"/>
      <c r="F58" s="18">
        <f t="shared" si="0"/>
        <v>0</v>
      </c>
    </row>
    <row r="59" spans="1:6" ht="31.5">
      <c r="A59" s="26" t="s">
        <v>272</v>
      </c>
      <c r="B59" s="73" t="s">
        <v>696</v>
      </c>
      <c r="C59" s="31" t="s">
        <v>89</v>
      </c>
      <c r="D59" s="27">
        <f>1+1</f>
        <v>2</v>
      </c>
      <c r="E59" s="18"/>
      <c r="F59" s="18">
        <f t="shared" si="0"/>
        <v>0</v>
      </c>
    </row>
    <row r="60" spans="1:6" ht="31.5">
      <c r="A60" s="26" t="s">
        <v>273</v>
      </c>
      <c r="B60" s="73" t="s">
        <v>697</v>
      </c>
      <c r="C60" s="31" t="s">
        <v>89</v>
      </c>
      <c r="D60" s="27">
        <v>3</v>
      </c>
      <c r="E60" s="18"/>
      <c r="F60" s="18">
        <f t="shared" si="0"/>
        <v>0</v>
      </c>
    </row>
    <row r="61" spans="1:6">
      <c r="A61" s="26" t="s">
        <v>274</v>
      </c>
      <c r="B61" s="73" t="s">
        <v>698</v>
      </c>
      <c r="C61" s="31" t="s">
        <v>89</v>
      </c>
      <c r="D61" s="27">
        <v>4</v>
      </c>
      <c r="E61" s="18"/>
      <c r="F61" s="18">
        <f t="shared" si="0"/>
        <v>0</v>
      </c>
    </row>
    <row r="62" spans="1:6">
      <c r="A62" s="26" t="s">
        <v>275</v>
      </c>
      <c r="B62" s="73" t="s">
        <v>699</v>
      </c>
      <c r="C62" s="31" t="s">
        <v>89</v>
      </c>
      <c r="D62" s="27">
        <v>6</v>
      </c>
      <c r="E62" s="18"/>
      <c r="F62" s="18">
        <f t="shared" si="0"/>
        <v>0</v>
      </c>
    </row>
    <row r="63" spans="1:6">
      <c r="A63" s="26" t="s">
        <v>276</v>
      </c>
      <c r="B63" s="73" t="s">
        <v>700</v>
      </c>
      <c r="C63" s="31" t="s">
        <v>89</v>
      </c>
      <c r="D63" s="27">
        <v>2</v>
      </c>
      <c r="E63" s="18"/>
      <c r="F63" s="18">
        <f t="shared" si="0"/>
        <v>0</v>
      </c>
    </row>
    <row r="64" spans="1:6" ht="63">
      <c r="A64" s="26" t="s">
        <v>277</v>
      </c>
      <c r="B64" s="73" t="s">
        <v>701</v>
      </c>
      <c r="C64" s="31" t="s">
        <v>87</v>
      </c>
      <c r="D64" s="27">
        <v>5</v>
      </c>
      <c r="E64" s="18"/>
      <c r="F64" s="18">
        <f t="shared" si="0"/>
        <v>0</v>
      </c>
    </row>
    <row r="65" spans="1:6" ht="47.25">
      <c r="A65" s="26"/>
      <c r="B65" s="98" t="s">
        <v>702</v>
      </c>
      <c r="C65" s="31"/>
      <c r="D65" s="27"/>
      <c r="E65" s="18"/>
      <c r="F65" s="18"/>
    </row>
    <row r="66" spans="1:6">
      <c r="A66" s="26" t="s">
        <v>278</v>
      </c>
      <c r="B66" s="73" t="s">
        <v>703</v>
      </c>
      <c r="C66" s="31" t="s">
        <v>89</v>
      </c>
      <c r="D66" s="27">
        <v>2</v>
      </c>
      <c r="E66" s="18"/>
      <c r="F66" s="18">
        <f t="shared" si="0"/>
        <v>0</v>
      </c>
    </row>
    <row r="67" spans="1:6">
      <c r="A67" s="26" t="s">
        <v>279</v>
      </c>
      <c r="B67" s="73" t="s">
        <v>704</v>
      </c>
      <c r="C67" s="31" t="s">
        <v>89</v>
      </c>
      <c r="D67" s="27">
        <v>2</v>
      </c>
      <c r="E67" s="18"/>
      <c r="F67" s="18">
        <f t="shared" si="0"/>
        <v>0</v>
      </c>
    </row>
    <row r="68" spans="1:6">
      <c r="A68" s="26" t="s">
        <v>280</v>
      </c>
      <c r="B68" s="73" t="s">
        <v>705</v>
      </c>
      <c r="C68" s="31" t="s">
        <v>89</v>
      </c>
      <c r="D68" s="27">
        <v>2</v>
      </c>
      <c r="E68" s="18"/>
      <c r="F68" s="18">
        <f t="shared" si="0"/>
        <v>0</v>
      </c>
    </row>
    <row r="69" spans="1:6" ht="31.5">
      <c r="A69" s="26" t="s">
        <v>281</v>
      </c>
      <c r="B69" s="73" t="s">
        <v>706</v>
      </c>
      <c r="C69" s="31" t="s">
        <v>89</v>
      </c>
      <c r="D69" s="27">
        <v>1</v>
      </c>
      <c r="E69" s="18"/>
      <c r="F69" s="18">
        <f t="shared" si="0"/>
        <v>0</v>
      </c>
    </row>
    <row r="70" spans="1:6" ht="31.5">
      <c r="A70" s="26" t="s">
        <v>282</v>
      </c>
      <c r="B70" s="73" t="s">
        <v>707</v>
      </c>
      <c r="C70" s="31" t="s">
        <v>89</v>
      </c>
      <c r="D70" s="27">
        <v>1</v>
      </c>
      <c r="E70" s="18"/>
      <c r="F70" s="18">
        <f t="shared" si="0"/>
        <v>0</v>
      </c>
    </row>
    <row r="71" spans="1:6" ht="47.25">
      <c r="A71" s="26" t="s">
        <v>283</v>
      </c>
      <c r="B71" s="73" t="s">
        <v>708</v>
      </c>
      <c r="C71" s="31" t="s">
        <v>89</v>
      </c>
      <c r="D71" s="27">
        <v>1</v>
      </c>
      <c r="E71" s="18"/>
      <c r="F71" s="18">
        <f t="shared" si="0"/>
        <v>0</v>
      </c>
    </row>
    <row r="72" spans="1:6">
      <c r="A72" s="23"/>
      <c r="B72" s="32" t="s">
        <v>17</v>
      </c>
      <c r="C72" s="19"/>
      <c r="D72" s="28"/>
      <c r="E72" s="20"/>
      <c r="F72" s="20">
        <f>SUM(F50:F71)</f>
        <v>0</v>
      </c>
    </row>
    <row r="73" spans="1:6" s="2" customFormat="1" ht="20.85" customHeight="1">
      <c r="A73" s="1" t="s">
        <v>94</v>
      </c>
      <c r="B73" s="216" t="s">
        <v>7</v>
      </c>
      <c r="C73" s="216"/>
      <c r="D73" s="216"/>
      <c r="E73" s="216"/>
      <c r="F73" s="216"/>
    </row>
    <row r="74" spans="1:6" s="2" customFormat="1" ht="20.25" customHeight="1">
      <c r="A74" s="3">
        <v>1</v>
      </c>
      <c r="B74" s="215" t="str">
        <f>B6</f>
        <v>Каркас / Framework</v>
      </c>
      <c r="C74" s="215"/>
      <c r="D74" s="215"/>
      <c r="E74" s="215"/>
      <c r="F74" s="4">
        <f>F24</f>
        <v>0</v>
      </c>
    </row>
    <row r="75" spans="1:6" s="2" customFormat="1" ht="20.25" customHeight="1">
      <c r="A75" s="3">
        <v>2</v>
      </c>
      <c r="B75" s="215" t="str">
        <f>B25</f>
        <v>Стены / Walls</v>
      </c>
      <c r="C75" s="215"/>
      <c r="D75" s="215"/>
      <c r="E75" s="215"/>
      <c r="F75" s="4">
        <f>F31</f>
        <v>0</v>
      </c>
    </row>
    <row r="76" spans="1:6" s="2" customFormat="1" ht="20.25" customHeight="1">
      <c r="A76" s="3">
        <v>3</v>
      </c>
      <c r="B76" s="215" t="str">
        <f>B32</f>
        <v>Потолки / Ceilings</v>
      </c>
      <c r="C76" s="215"/>
      <c r="D76" s="215"/>
      <c r="E76" s="215"/>
      <c r="F76" s="4">
        <f>F38</f>
        <v>0</v>
      </c>
    </row>
    <row r="77" spans="1:6" s="2" customFormat="1" ht="20.25" customHeight="1">
      <c r="A77" s="3">
        <v>4</v>
      </c>
      <c r="B77" s="215" t="str">
        <f>B39</f>
        <v>Полы / Floors</v>
      </c>
      <c r="C77" s="215"/>
      <c r="D77" s="215"/>
      <c r="E77" s="215"/>
      <c r="F77" s="4">
        <f>F44</f>
        <v>0</v>
      </c>
    </row>
    <row r="78" spans="1:6" s="2" customFormat="1" ht="20.25" customHeight="1">
      <c r="A78" s="3">
        <v>5</v>
      </c>
      <c r="B78" s="215" t="str">
        <f>B45</f>
        <v>Наружняя отделка / Exterior decoration</v>
      </c>
      <c r="C78" s="215"/>
      <c r="D78" s="215"/>
      <c r="E78" s="215"/>
      <c r="F78" s="4">
        <f>F48</f>
        <v>0</v>
      </c>
    </row>
    <row r="79" spans="1:6" s="2" customFormat="1" ht="20.25" customHeight="1">
      <c r="A79" s="3">
        <v>6</v>
      </c>
      <c r="B79" s="215" t="str">
        <f>B49</f>
        <v>Спецификация оборудования и материалы В1 / Specification of equipment and materials B1</v>
      </c>
      <c r="C79" s="215"/>
      <c r="D79" s="215"/>
      <c r="E79" s="215"/>
      <c r="F79" s="4">
        <f>F72</f>
        <v>0</v>
      </c>
    </row>
    <row r="80" spans="1:6" s="2" customFormat="1" ht="20.85" customHeight="1">
      <c r="A80" s="1" t="s">
        <v>94</v>
      </c>
      <c r="B80" s="212" t="s">
        <v>8</v>
      </c>
      <c r="C80" s="212"/>
      <c r="D80" s="212"/>
      <c r="E80" s="212"/>
      <c r="F80" s="5">
        <f>SUM(F74:F79)</f>
        <v>0</v>
      </c>
    </row>
    <row r="81" spans="1:6" s="15" customFormat="1" ht="28.5" customHeight="1">
      <c r="A81" s="211" t="s">
        <v>9</v>
      </c>
      <c r="B81" s="211"/>
      <c r="C81" s="211"/>
      <c r="D81" s="211"/>
      <c r="E81" s="211"/>
      <c r="F81" s="211"/>
    </row>
    <row r="82" spans="1:6" s="15" customFormat="1" ht="220.5" customHeight="1">
      <c r="A82" s="211" t="s">
        <v>10</v>
      </c>
      <c r="B82" s="211"/>
      <c r="C82" s="211"/>
      <c r="D82" s="211"/>
      <c r="E82" s="211"/>
      <c r="F82" s="211"/>
    </row>
    <row r="83" spans="1:6" s="15" customFormat="1" ht="31.5" customHeight="1">
      <c r="A83" s="211" t="s">
        <v>11</v>
      </c>
      <c r="B83" s="211"/>
      <c r="C83" s="211"/>
      <c r="D83" s="211"/>
      <c r="E83" s="211"/>
      <c r="F83" s="211"/>
    </row>
    <row r="84" spans="1:6" s="15" customFormat="1" ht="180" customHeight="1">
      <c r="A84" s="211" t="s">
        <v>12</v>
      </c>
      <c r="B84" s="211"/>
      <c r="C84" s="211"/>
      <c r="D84" s="211"/>
      <c r="E84" s="211"/>
      <c r="F84" s="211"/>
    </row>
    <row r="85" spans="1:6" s="9" customFormat="1">
      <c r="A85" s="6"/>
      <c r="B85" s="7"/>
      <c r="C85" s="6"/>
      <c r="D85" s="8"/>
      <c r="E85" s="6"/>
      <c r="F85" s="6"/>
    </row>
    <row r="86" spans="1:6" s="9" customFormat="1">
      <c r="A86" s="6"/>
      <c r="B86" s="7"/>
      <c r="C86" s="6"/>
      <c r="D86" s="8"/>
      <c r="E86" s="6"/>
      <c r="F86" s="6"/>
    </row>
    <row r="87" spans="1:6" s="13" customFormat="1">
      <c r="A87" s="12"/>
      <c r="B87" s="11" t="s">
        <v>13</v>
      </c>
      <c r="C87" s="12"/>
      <c r="D87" s="8"/>
      <c r="E87" s="6"/>
      <c r="F87" s="6"/>
    </row>
    <row r="88" spans="1:6" s="13" customFormat="1">
      <c r="A88" s="12"/>
      <c r="B88" s="14" t="s">
        <v>14</v>
      </c>
      <c r="C88" s="12"/>
      <c r="D88" s="8"/>
      <c r="E88" s="6"/>
      <c r="F88" s="6"/>
    </row>
    <row r="89" spans="1:6" s="13" customFormat="1">
      <c r="A89" s="12"/>
      <c r="B89" s="14"/>
      <c r="C89" s="12"/>
      <c r="D89" s="8"/>
      <c r="E89" s="6"/>
      <c r="F89" s="6"/>
    </row>
    <row r="90" spans="1:6" s="13" customFormat="1">
      <c r="A90" s="12"/>
      <c r="B90" s="10"/>
      <c r="C90" s="12"/>
      <c r="D90" s="8"/>
      <c r="E90" s="6"/>
      <c r="F90" s="6"/>
    </row>
    <row r="91" spans="1:6" s="13" customFormat="1">
      <c r="A91" s="12"/>
      <c r="B91" s="10"/>
      <c r="C91" s="12"/>
      <c r="D91" s="8"/>
      <c r="E91" s="6"/>
      <c r="F91" s="6"/>
    </row>
    <row r="92" spans="1:6" s="13" customFormat="1">
      <c r="A92" s="12"/>
      <c r="B92" s="10" t="s">
        <v>15</v>
      </c>
      <c r="C92" s="12"/>
      <c r="D92" s="8"/>
      <c r="E92" s="6"/>
      <c r="F92" s="6"/>
    </row>
    <row r="93" spans="1:6" s="13" customFormat="1">
      <c r="A93" s="12"/>
      <c r="B93" s="10" t="s">
        <v>16</v>
      </c>
      <c r="C93" s="12"/>
      <c r="D93" s="8"/>
      <c r="E93" s="6"/>
      <c r="F93" s="6"/>
    </row>
  </sheetData>
  <protectedRanges>
    <protectedRange sqref="E4" name="Range1"/>
  </protectedRanges>
  <mergeCells count="14">
    <mergeCell ref="A82:F82"/>
    <mergeCell ref="A83:F83"/>
    <mergeCell ref="A84:F84"/>
    <mergeCell ref="A2:F2"/>
    <mergeCell ref="A3:F3"/>
    <mergeCell ref="B73:F73"/>
    <mergeCell ref="B74:E74"/>
    <mergeCell ref="B80:E80"/>
    <mergeCell ref="A81:F81"/>
    <mergeCell ref="B75:E75"/>
    <mergeCell ref="B76:E76"/>
    <mergeCell ref="B77:E77"/>
    <mergeCell ref="B78:E78"/>
    <mergeCell ref="B79:E79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3305-AC13-4FD4-A6E3-B087059399E7}">
  <sheetPr>
    <tabColor rgb="FF00B050"/>
  </sheetPr>
  <dimension ref="A1:F71"/>
  <sheetViews>
    <sheetView zoomScale="78" zoomScaleNormal="80" workbookViewId="0">
      <selection activeCell="F1" sqref="F1"/>
    </sheetView>
  </sheetViews>
  <sheetFormatPr defaultColWidth="8.85546875" defaultRowHeight="15.75"/>
  <cols>
    <col min="1" max="1" width="9.140625" style="22" customWidth="1"/>
    <col min="2" max="2" width="58.5703125" style="25" customWidth="1"/>
    <col min="3" max="3" width="16" style="25" customWidth="1"/>
    <col min="4" max="4" width="16" style="29" customWidth="1"/>
    <col min="5" max="6" width="16" style="22" customWidth="1"/>
    <col min="7" max="16384" width="8.85546875" style="16"/>
  </cols>
  <sheetData>
    <row r="1" spans="1:6" s="2" customFormat="1" ht="20.45" customHeight="1">
      <c r="A1" s="65"/>
      <c r="B1" s="66"/>
      <c r="C1" s="65"/>
      <c r="D1" s="67"/>
      <c r="E1" s="68" t="s">
        <v>107</v>
      </c>
      <c r="F1" s="69"/>
    </row>
    <row r="2" spans="1:6" s="70" customFormat="1" ht="50.45" customHeight="1">
      <c r="A2" s="213" t="str">
        <f>SUM!A12</f>
        <v xml:space="preserve">ВЕДОМОСТЬ ОБЪЕМОВ РАБОТ / BILL OF QUANTITIES </v>
      </c>
      <c r="B2" s="213"/>
      <c r="C2" s="213"/>
      <c r="D2" s="213"/>
      <c r="E2" s="213"/>
      <c r="F2" s="213"/>
    </row>
    <row r="3" spans="1:6" s="36" customFormat="1" ht="58.5" customHeight="1">
      <c r="A3" s="214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14"/>
      <c r="C3" s="214"/>
      <c r="D3" s="214"/>
      <c r="E3" s="214"/>
      <c r="F3" s="214"/>
    </row>
    <row r="4" spans="1:6" s="2" customFormat="1" ht="69" customHeight="1">
      <c r="A4" s="71" t="s">
        <v>114</v>
      </c>
      <c r="B4" s="71" t="s">
        <v>92</v>
      </c>
      <c r="C4" s="71" t="s">
        <v>115</v>
      </c>
      <c r="D4" s="72" t="s">
        <v>116</v>
      </c>
      <c r="E4" s="87" t="s">
        <v>99</v>
      </c>
      <c r="F4" s="88" t="s">
        <v>100</v>
      </c>
    </row>
    <row r="5" spans="1:6" ht="27" customHeight="1">
      <c r="A5" s="89" t="s">
        <v>143</v>
      </c>
      <c r="B5" s="91" t="s">
        <v>976</v>
      </c>
      <c r="C5" s="89"/>
      <c r="D5" s="89"/>
      <c r="E5" s="89"/>
      <c r="F5" s="89"/>
    </row>
    <row r="6" spans="1:6" ht="18.75" customHeight="1">
      <c r="A6" s="89" t="s">
        <v>147</v>
      </c>
      <c r="B6" s="91" t="s">
        <v>343</v>
      </c>
      <c r="C6" s="89"/>
      <c r="D6" s="89"/>
      <c r="E6" s="89"/>
      <c r="F6" s="89"/>
    </row>
    <row r="7" spans="1:6" ht="47.25">
      <c r="A7" s="26" t="s">
        <v>1</v>
      </c>
      <c r="B7" s="73" t="s">
        <v>344</v>
      </c>
      <c r="C7" s="31" t="s">
        <v>86</v>
      </c>
      <c r="D7" s="27">
        <v>8.4</v>
      </c>
      <c r="E7" s="18"/>
      <c r="F7" s="18">
        <f t="shared" ref="F7:F8" si="0">ROUND(D7*E7,2)</f>
        <v>0</v>
      </c>
    </row>
    <row r="8" spans="1:6" ht="84" customHeight="1">
      <c r="A8" s="26" t="s">
        <v>18</v>
      </c>
      <c r="B8" s="73" t="s">
        <v>345</v>
      </c>
      <c r="C8" s="31" t="s">
        <v>91</v>
      </c>
      <c r="D8" s="27">
        <v>12</v>
      </c>
      <c r="E8" s="18"/>
      <c r="F8" s="18">
        <f t="shared" si="0"/>
        <v>0</v>
      </c>
    </row>
    <row r="9" spans="1:6" ht="22.5" customHeight="1">
      <c r="A9" s="23"/>
      <c r="B9" s="32" t="s">
        <v>17</v>
      </c>
      <c r="C9" s="19"/>
      <c r="D9" s="28"/>
      <c r="E9" s="20"/>
      <c r="F9" s="20">
        <f>SUM(F7:F8)</f>
        <v>0</v>
      </c>
    </row>
    <row r="10" spans="1:6" ht="42" customHeight="1">
      <c r="A10" s="89" t="s">
        <v>139</v>
      </c>
      <c r="B10" s="91" t="s">
        <v>977</v>
      </c>
      <c r="C10" s="89"/>
      <c r="D10" s="89"/>
      <c r="E10" s="89"/>
      <c r="F10" s="89"/>
    </row>
    <row r="11" spans="1:6" ht="21.75" customHeight="1">
      <c r="A11" s="89" t="s">
        <v>31</v>
      </c>
      <c r="B11" s="92" t="s">
        <v>129</v>
      </c>
      <c r="C11" s="89"/>
      <c r="D11" s="89"/>
      <c r="E11" s="89"/>
      <c r="F11" s="89"/>
    </row>
    <row r="12" spans="1:6" ht="41.25" customHeight="1">
      <c r="A12" s="26" t="s">
        <v>31</v>
      </c>
      <c r="B12" s="73" t="s">
        <v>310</v>
      </c>
      <c r="C12" s="31" t="s">
        <v>86</v>
      </c>
      <c r="D12" s="27">
        <v>3.78</v>
      </c>
      <c r="E12" s="18"/>
      <c r="F12" s="18">
        <f t="shared" ref="F12:F53" si="1">ROUND(D12*E12,2)</f>
        <v>0</v>
      </c>
    </row>
    <row r="13" spans="1:6" ht="25.5" customHeight="1">
      <c r="A13" s="89" t="s">
        <v>32</v>
      </c>
      <c r="B13" s="91" t="s">
        <v>311</v>
      </c>
      <c r="C13" s="89"/>
      <c r="D13" s="89"/>
      <c r="E13" s="89"/>
      <c r="F13" s="89"/>
    </row>
    <row r="14" spans="1:6" ht="40.5" customHeight="1">
      <c r="A14" s="26" t="s">
        <v>810</v>
      </c>
      <c r="B14" s="73" t="s">
        <v>131</v>
      </c>
      <c r="C14" s="31" t="s">
        <v>86</v>
      </c>
      <c r="D14" s="27">
        <v>2.1419999999999999</v>
      </c>
      <c r="E14" s="18"/>
      <c r="F14" s="18">
        <f t="shared" si="1"/>
        <v>0</v>
      </c>
    </row>
    <row r="15" spans="1:6" ht="71.25" customHeight="1">
      <c r="A15" s="26" t="s">
        <v>811</v>
      </c>
      <c r="B15" s="73" t="s">
        <v>134</v>
      </c>
      <c r="C15" s="31" t="s">
        <v>86</v>
      </c>
      <c r="D15" s="27">
        <v>1.1140000000000001</v>
      </c>
      <c r="E15" s="18"/>
      <c r="F15" s="18">
        <f t="shared" si="1"/>
        <v>0</v>
      </c>
    </row>
    <row r="16" spans="1:6" ht="31.5">
      <c r="A16" s="26" t="s">
        <v>349</v>
      </c>
      <c r="B16" s="98" t="s">
        <v>177</v>
      </c>
      <c r="C16" s="31"/>
      <c r="D16" s="27"/>
      <c r="E16" s="18"/>
      <c r="F16" s="18"/>
    </row>
    <row r="17" spans="1:6">
      <c r="A17" s="26" t="s">
        <v>812</v>
      </c>
      <c r="B17" s="73" t="s">
        <v>346</v>
      </c>
      <c r="C17" s="31" t="s">
        <v>88</v>
      </c>
      <c r="D17" s="27">
        <v>3.3600000000000005E-2</v>
      </c>
      <c r="E17" s="18"/>
      <c r="F17" s="18">
        <f t="shared" si="1"/>
        <v>0</v>
      </c>
    </row>
    <row r="18" spans="1:6">
      <c r="A18" s="26" t="s">
        <v>813</v>
      </c>
      <c r="B18" s="73" t="s">
        <v>347</v>
      </c>
      <c r="C18" s="31" t="s">
        <v>88</v>
      </c>
      <c r="D18" s="27">
        <v>0.14279999999999998</v>
      </c>
      <c r="E18" s="18"/>
      <c r="F18" s="18">
        <f t="shared" si="1"/>
        <v>0</v>
      </c>
    </row>
    <row r="19" spans="1:6" ht="36" customHeight="1">
      <c r="A19" s="26" t="s">
        <v>814</v>
      </c>
      <c r="B19" s="73" t="s">
        <v>127</v>
      </c>
      <c r="C19" s="31" t="s">
        <v>91</v>
      </c>
      <c r="D19" s="27">
        <v>212</v>
      </c>
      <c r="E19" s="18"/>
      <c r="F19" s="18">
        <f t="shared" si="1"/>
        <v>0</v>
      </c>
    </row>
    <row r="20" spans="1:6" ht="31.5">
      <c r="A20" s="89" t="s">
        <v>33</v>
      </c>
      <c r="B20" s="91" t="s">
        <v>146</v>
      </c>
      <c r="C20" s="89"/>
      <c r="D20" s="89"/>
      <c r="E20" s="89"/>
      <c r="F20" s="89"/>
    </row>
    <row r="21" spans="1:6" ht="48.75" customHeight="1">
      <c r="A21" s="24"/>
      <c r="B21" s="93" t="s">
        <v>362</v>
      </c>
      <c r="C21" s="94"/>
      <c r="D21" s="94"/>
      <c r="E21" s="17"/>
      <c r="F21" s="34"/>
    </row>
    <row r="22" spans="1:6" ht="31.5">
      <c r="A22" s="26" t="s">
        <v>314</v>
      </c>
      <c r="B22" s="73" t="s">
        <v>489</v>
      </c>
      <c r="C22" s="31" t="s">
        <v>88</v>
      </c>
      <c r="D22" s="27">
        <v>0.58221999999999996</v>
      </c>
      <c r="E22" s="18"/>
      <c r="F22" s="18">
        <f t="shared" si="1"/>
        <v>0</v>
      </c>
    </row>
    <row r="23" spans="1:6" ht="31.5">
      <c r="A23" s="26" t="s">
        <v>315</v>
      </c>
      <c r="B23" s="73" t="s">
        <v>490</v>
      </c>
      <c r="C23" s="31" t="s">
        <v>88</v>
      </c>
      <c r="D23" s="27">
        <v>0.4128</v>
      </c>
      <c r="E23" s="18"/>
      <c r="F23" s="18">
        <f t="shared" si="1"/>
        <v>0</v>
      </c>
    </row>
    <row r="24" spans="1:6" ht="31.5">
      <c r="A24" s="26" t="s">
        <v>316</v>
      </c>
      <c r="B24" s="73" t="s">
        <v>491</v>
      </c>
      <c r="C24" s="31" t="s">
        <v>88</v>
      </c>
      <c r="D24" s="27">
        <v>8.2560000000000008E-2</v>
      </c>
      <c r="E24" s="18"/>
      <c r="F24" s="18">
        <f t="shared" si="1"/>
        <v>0</v>
      </c>
    </row>
    <row r="25" spans="1:6">
      <c r="A25" s="26" t="s">
        <v>317</v>
      </c>
      <c r="B25" s="73" t="s">
        <v>492</v>
      </c>
      <c r="C25" s="31" t="s">
        <v>88</v>
      </c>
      <c r="D25" s="27">
        <v>3.7840000000000006E-2</v>
      </c>
      <c r="E25" s="18"/>
      <c r="F25" s="18">
        <f t="shared" si="1"/>
        <v>0</v>
      </c>
    </row>
    <row r="26" spans="1:6">
      <c r="A26" s="26" t="s">
        <v>201</v>
      </c>
      <c r="B26" s="73" t="s">
        <v>493</v>
      </c>
      <c r="C26" s="31" t="s">
        <v>88</v>
      </c>
      <c r="D26" s="27">
        <v>3.7840000000000006E-2</v>
      </c>
      <c r="E26" s="18"/>
      <c r="F26" s="18">
        <f t="shared" si="1"/>
        <v>0</v>
      </c>
    </row>
    <row r="27" spans="1:6">
      <c r="A27" s="26" t="s">
        <v>318</v>
      </c>
      <c r="B27" s="73" t="s">
        <v>494</v>
      </c>
      <c r="C27" s="31" t="s">
        <v>88</v>
      </c>
      <c r="D27" s="27">
        <v>0.58265</v>
      </c>
      <c r="E27" s="18"/>
      <c r="F27" s="18">
        <f t="shared" si="1"/>
        <v>0</v>
      </c>
    </row>
    <row r="28" spans="1:6" ht="31.5">
      <c r="A28" s="26" t="s">
        <v>319</v>
      </c>
      <c r="B28" s="73" t="s">
        <v>495</v>
      </c>
      <c r="C28" s="31" t="s">
        <v>88</v>
      </c>
      <c r="D28" s="27">
        <v>5.4179999999999999E-2</v>
      </c>
      <c r="E28" s="18"/>
      <c r="F28" s="18">
        <f t="shared" si="1"/>
        <v>0</v>
      </c>
    </row>
    <row r="29" spans="1:6" ht="31.5">
      <c r="A29" s="26" t="s">
        <v>320</v>
      </c>
      <c r="B29" s="121" t="s">
        <v>496</v>
      </c>
      <c r="C29" s="31" t="s">
        <v>88</v>
      </c>
      <c r="D29" s="27">
        <v>3.8270000000000005E-2</v>
      </c>
      <c r="E29" s="18"/>
      <c r="F29" s="18">
        <f t="shared" si="1"/>
        <v>0</v>
      </c>
    </row>
    <row r="30" spans="1:6" ht="31.5">
      <c r="A30" s="26" t="s">
        <v>321</v>
      </c>
      <c r="B30" s="121" t="s">
        <v>497</v>
      </c>
      <c r="C30" s="31" t="s">
        <v>88</v>
      </c>
      <c r="D30" s="27">
        <v>0.79420999999999997</v>
      </c>
      <c r="E30" s="18"/>
      <c r="F30" s="18">
        <f t="shared" si="1"/>
        <v>0</v>
      </c>
    </row>
    <row r="31" spans="1:6" ht="31.5">
      <c r="A31" s="26" t="s">
        <v>322</v>
      </c>
      <c r="B31" s="121" t="s">
        <v>498</v>
      </c>
      <c r="C31" s="31" t="s">
        <v>88</v>
      </c>
      <c r="D31" s="27">
        <v>5.0601520000000004E-2</v>
      </c>
      <c r="E31" s="18"/>
      <c r="F31" s="18">
        <f t="shared" si="1"/>
        <v>0</v>
      </c>
    </row>
    <row r="32" spans="1:6" ht="47.25">
      <c r="A32" s="26" t="s">
        <v>323</v>
      </c>
      <c r="B32" s="73" t="s">
        <v>137</v>
      </c>
      <c r="C32" s="31" t="s">
        <v>91</v>
      </c>
      <c r="D32" s="27">
        <f>2.566*100</f>
        <v>256.59999999999997</v>
      </c>
      <c r="E32" s="18"/>
      <c r="F32" s="18">
        <f t="shared" si="1"/>
        <v>0</v>
      </c>
    </row>
    <row r="33" spans="1:6" ht="47.25">
      <c r="A33" s="26" t="s">
        <v>324</v>
      </c>
      <c r="B33" s="73" t="s">
        <v>138</v>
      </c>
      <c r="C33" s="31" t="s">
        <v>91</v>
      </c>
      <c r="D33" s="27">
        <f>2.566*100</f>
        <v>256.59999999999997</v>
      </c>
      <c r="E33" s="18"/>
      <c r="F33" s="18">
        <f t="shared" si="1"/>
        <v>0</v>
      </c>
    </row>
    <row r="34" spans="1:6" ht="21" customHeight="1">
      <c r="A34" s="24"/>
      <c r="B34" s="93" t="s">
        <v>136</v>
      </c>
      <c r="C34" s="94"/>
      <c r="D34" s="94"/>
      <c r="E34" s="17"/>
      <c r="F34" s="34"/>
    </row>
    <row r="35" spans="1:6" ht="41.25" customHeight="1">
      <c r="A35" s="26" t="s">
        <v>325</v>
      </c>
      <c r="B35" s="73" t="s">
        <v>310</v>
      </c>
      <c r="C35" s="31" t="s">
        <v>86</v>
      </c>
      <c r="D35" s="27">
        <f>0.0082*100</f>
        <v>0.82000000000000006</v>
      </c>
      <c r="E35" s="18"/>
      <c r="F35" s="18">
        <f t="shared" ref="F35" si="2">ROUND(D35*E35,2)</f>
        <v>0</v>
      </c>
    </row>
    <row r="36" spans="1:6" ht="63">
      <c r="A36" s="26" t="s">
        <v>326</v>
      </c>
      <c r="B36" s="73" t="s">
        <v>134</v>
      </c>
      <c r="C36" s="31" t="s">
        <v>86</v>
      </c>
      <c r="D36" s="27">
        <f>0.0052*100</f>
        <v>0.52</v>
      </c>
      <c r="E36" s="18"/>
      <c r="F36" s="18">
        <f t="shared" si="1"/>
        <v>0</v>
      </c>
    </row>
    <row r="37" spans="1:6">
      <c r="A37" s="26" t="s">
        <v>327</v>
      </c>
      <c r="B37" s="98" t="s">
        <v>312</v>
      </c>
      <c r="C37" s="31"/>
      <c r="D37" s="27"/>
      <c r="E37" s="18"/>
      <c r="F37" s="18"/>
    </row>
    <row r="38" spans="1:6">
      <c r="A38" s="26" t="s">
        <v>328</v>
      </c>
      <c r="B38" s="73" t="s">
        <v>346</v>
      </c>
      <c r="C38" s="31" t="s">
        <v>88</v>
      </c>
      <c r="D38" s="27">
        <v>1.6000000000000001E-3</v>
      </c>
      <c r="E38" s="18"/>
      <c r="F38" s="18">
        <f t="shared" si="1"/>
        <v>0</v>
      </c>
    </row>
    <row r="39" spans="1:6">
      <c r="A39" s="26" t="s">
        <v>329</v>
      </c>
      <c r="B39" s="73" t="s">
        <v>347</v>
      </c>
      <c r="C39" s="31" t="s">
        <v>88</v>
      </c>
      <c r="D39" s="27">
        <v>6.7999999999999996E-3</v>
      </c>
      <c r="E39" s="18"/>
      <c r="F39" s="18">
        <f t="shared" si="1"/>
        <v>0</v>
      </c>
    </row>
    <row r="40" spans="1:6" ht="31.5">
      <c r="A40" s="26" t="s">
        <v>330</v>
      </c>
      <c r="B40" s="73" t="s">
        <v>127</v>
      </c>
      <c r="C40" s="31" t="s">
        <v>91</v>
      </c>
      <c r="D40" s="27">
        <f>0.0384*100</f>
        <v>3.84</v>
      </c>
      <c r="E40" s="18"/>
      <c r="F40" s="18">
        <f t="shared" si="1"/>
        <v>0</v>
      </c>
    </row>
    <row r="41" spans="1:6" ht="47.25">
      <c r="A41" s="122"/>
      <c r="B41" s="123" t="s">
        <v>135</v>
      </c>
      <c r="C41" s="124"/>
      <c r="D41" s="135"/>
      <c r="E41" s="125"/>
      <c r="F41" s="126"/>
    </row>
    <row r="42" spans="1:6" ht="31.5">
      <c r="A42" s="26" t="s">
        <v>331</v>
      </c>
      <c r="B42" s="73" t="s">
        <v>501</v>
      </c>
      <c r="C42" s="31" t="s">
        <v>88</v>
      </c>
      <c r="D42" s="27">
        <v>1.4E-2</v>
      </c>
      <c r="E42" s="18"/>
      <c r="F42" s="18">
        <f t="shared" si="1"/>
        <v>0</v>
      </c>
    </row>
    <row r="43" spans="1:6" ht="31.5">
      <c r="A43" s="26" t="s">
        <v>332</v>
      </c>
      <c r="B43" s="73" t="s">
        <v>502</v>
      </c>
      <c r="C43" s="31" t="s">
        <v>88</v>
      </c>
      <c r="D43" s="27">
        <v>1.2E-2</v>
      </c>
      <c r="E43" s="18"/>
      <c r="F43" s="18">
        <f t="shared" si="1"/>
        <v>0</v>
      </c>
    </row>
    <row r="44" spans="1:6" ht="31.5">
      <c r="A44" s="26" t="s">
        <v>333</v>
      </c>
      <c r="B44" s="73" t="s">
        <v>490</v>
      </c>
      <c r="C44" s="31" t="s">
        <v>88</v>
      </c>
      <c r="D44" s="27">
        <v>1.9199999999999998E-2</v>
      </c>
      <c r="E44" s="18"/>
      <c r="F44" s="18">
        <f t="shared" si="1"/>
        <v>0</v>
      </c>
    </row>
    <row r="45" spans="1:6" ht="31.5">
      <c r="A45" s="26" t="s">
        <v>334</v>
      </c>
      <c r="B45" s="73" t="s">
        <v>491</v>
      </c>
      <c r="C45" s="31" t="s">
        <v>88</v>
      </c>
      <c r="D45" s="27">
        <v>3.8399999999999997E-3</v>
      </c>
      <c r="E45" s="18"/>
      <c r="F45" s="18">
        <f t="shared" si="1"/>
        <v>0</v>
      </c>
    </row>
    <row r="46" spans="1:6">
      <c r="A46" s="26" t="s">
        <v>335</v>
      </c>
      <c r="B46" s="73" t="s">
        <v>494</v>
      </c>
      <c r="C46" s="31" t="s">
        <v>88</v>
      </c>
      <c r="D46" s="27">
        <v>7.0699999999999999E-3</v>
      </c>
      <c r="E46" s="18"/>
      <c r="F46" s="18">
        <f t="shared" si="1"/>
        <v>0</v>
      </c>
    </row>
    <row r="47" spans="1:6" ht="31.5">
      <c r="A47" s="26" t="s">
        <v>336</v>
      </c>
      <c r="B47" s="73" t="s">
        <v>503</v>
      </c>
      <c r="C47" s="31" t="s">
        <v>88</v>
      </c>
      <c r="D47" s="27">
        <v>1.2960000000000001E-3</v>
      </c>
      <c r="E47" s="18"/>
      <c r="F47" s="18">
        <f t="shared" si="1"/>
        <v>0</v>
      </c>
    </row>
    <row r="48" spans="1:6" ht="31.5">
      <c r="A48" s="26" t="s">
        <v>337</v>
      </c>
      <c r="B48" s="73" t="s">
        <v>496</v>
      </c>
      <c r="C48" s="31" t="s">
        <v>88</v>
      </c>
      <c r="D48" s="27">
        <v>1.7800000000000001E-3</v>
      </c>
      <c r="E48" s="18"/>
      <c r="F48" s="18">
        <f t="shared" si="1"/>
        <v>0</v>
      </c>
    </row>
    <row r="49" spans="1:6" ht="31.5">
      <c r="A49" s="26" t="s">
        <v>338</v>
      </c>
      <c r="B49" s="73" t="s">
        <v>497</v>
      </c>
      <c r="C49" s="31" t="s">
        <v>88</v>
      </c>
      <c r="D49" s="27">
        <v>3.6940000000000001E-2</v>
      </c>
      <c r="E49" s="18"/>
      <c r="F49" s="18">
        <f t="shared" si="1"/>
        <v>0</v>
      </c>
    </row>
    <row r="50" spans="1:6" ht="31.5">
      <c r="A50" s="26" t="s">
        <v>339</v>
      </c>
      <c r="B50" s="73" t="s">
        <v>504</v>
      </c>
      <c r="C50" s="31" t="s">
        <v>88</v>
      </c>
      <c r="D50" s="27">
        <v>5.7582399999999985E-4</v>
      </c>
      <c r="E50" s="18"/>
      <c r="F50" s="18">
        <f t="shared" si="1"/>
        <v>0</v>
      </c>
    </row>
    <row r="51" spans="1:6" ht="25.5" customHeight="1">
      <c r="A51" s="26" t="s">
        <v>340</v>
      </c>
      <c r="B51" s="73" t="s">
        <v>505</v>
      </c>
      <c r="C51" s="31" t="s">
        <v>89</v>
      </c>
      <c r="D51" s="27">
        <v>4</v>
      </c>
      <c r="E51" s="18"/>
      <c r="F51" s="18">
        <f t="shared" si="1"/>
        <v>0</v>
      </c>
    </row>
    <row r="52" spans="1:6" ht="47.25">
      <c r="A52" s="26" t="s">
        <v>341</v>
      </c>
      <c r="B52" s="73" t="s">
        <v>137</v>
      </c>
      <c r="C52" s="31" t="s">
        <v>91</v>
      </c>
      <c r="D52" s="27">
        <v>6</v>
      </c>
      <c r="E52" s="18"/>
      <c r="F52" s="18">
        <f t="shared" si="1"/>
        <v>0</v>
      </c>
    </row>
    <row r="53" spans="1:6" ht="47.25">
      <c r="A53" s="26" t="s">
        <v>342</v>
      </c>
      <c r="B53" s="73" t="s">
        <v>138</v>
      </c>
      <c r="C53" s="31" t="s">
        <v>91</v>
      </c>
      <c r="D53" s="27">
        <v>6</v>
      </c>
      <c r="E53" s="18"/>
      <c r="F53" s="18">
        <f t="shared" si="1"/>
        <v>0</v>
      </c>
    </row>
    <row r="54" spans="1:6" ht="19.5" customHeight="1">
      <c r="A54" s="23"/>
      <c r="B54" s="32" t="s">
        <v>17</v>
      </c>
      <c r="C54" s="19"/>
      <c r="D54" s="28"/>
      <c r="E54" s="20"/>
      <c r="F54" s="20">
        <f>SUM(F12:F53)</f>
        <v>0</v>
      </c>
    </row>
    <row r="55" spans="1:6" s="2" customFormat="1" ht="28.5" customHeight="1">
      <c r="A55" s="1" t="s">
        <v>143</v>
      </c>
      <c r="B55" s="216" t="s">
        <v>7</v>
      </c>
      <c r="C55" s="216"/>
      <c r="D55" s="216"/>
      <c r="E55" s="216"/>
      <c r="F55" s="216"/>
    </row>
    <row r="56" spans="1:6" s="2" customFormat="1" ht="30.75" customHeight="1">
      <c r="A56" s="3">
        <v>1</v>
      </c>
      <c r="B56" s="215" t="str">
        <f>B6</f>
        <v>Гравийное покрытие / Gravel surface</v>
      </c>
      <c r="C56" s="215"/>
      <c r="D56" s="215"/>
      <c r="E56" s="215"/>
      <c r="F56" s="4">
        <f>F9</f>
        <v>0</v>
      </c>
    </row>
    <row r="57" spans="1:6" s="2" customFormat="1" ht="28.5" customHeight="1">
      <c r="A57" s="3">
        <v>2</v>
      </c>
      <c r="B57" s="217" t="str">
        <f>B10</f>
        <v xml:space="preserve"> Площадка НРР-зоны 2   (Сеточный ограждение площадки водозабора)  / Mesh fencing</v>
      </c>
      <c r="C57" s="218"/>
      <c r="D57" s="218"/>
      <c r="E57" s="219"/>
      <c r="F57" s="4">
        <f>F54</f>
        <v>0</v>
      </c>
    </row>
    <row r="58" spans="1:6" s="2" customFormat="1" ht="25.5" customHeight="1">
      <c r="A58" s="1" t="s">
        <v>143</v>
      </c>
      <c r="B58" s="212" t="s">
        <v>8</v>
      </c>
      <c r="C58" s="212"/>
      <c r="D58" s="212"/>
      <c r="E58" s="212"/>
      <c r="F58" s="5">
        <f>SUM(F56:F57)</f>
        <v>0</v>
      </c>
    </row>
    <row r="59" spans="1:6" s="15" customFormat="1" ht="28.5" customHeight="1">
      <c r="A59" s="211" t="s">
        <v>9</v>
      </c>
      <c r="B59" s="211"/>
      <c r="C59" s="211"/>
      <c r="D59" s="211"/>
      <c r="E59" s="211"/>
      <c r="F59" s="211"/>
    </row>
    <row r="60" spans="1:6" s="15" customFormat="1" ht="194.45" customHeight="1">
      <c r="A60" s="211" t="s">
        <v>10</v>
      </c>
      <c r="B60" s="211"/>
      <c r="C60" s="211"/>
      <c r="D60" s="211"/>
      <c r="E60" s="211"/>
      <c r="F60" s="211"/>
    </row>
    <row r="61" spans="1:6" s="15" customFormat="1" ht="45.6" customHeight="1">
      <c r="A61" s="211" t="s">
        <v>11</v>
      </c>
      <c r="B61" s="211"/>
      <c r="C61" s="211"/>
      <c r="D61" s="211"/>
      <c r="E61" s="211"/>
      <c r="F61" s="211"/>
    </row>
    <row r="62" spans="1:6" s="15" customFormat="1" ht="169.35" customHeight="1">
      <c r="A62" s="211" t="s">
        <v>12</v>
      </c>
      <c r="B62" s="211"/>
      <c r="C62" s="211"/>
      <c r="D62" s="211"/>
      <c r="E62" s="211"/>
      <c r="F62" s="211"/>
    </row>
    <row r="63" spans="1:6" s="9" customFormat="1">
      <c r="A63" s="6"/>
      <c r="B63" s="7"/>
      <c r="C63" s="6"/>
      <c r="D63" s="8"/>
      <c r="E63" s="6"/>
      <c r="F63" s="6"/>
    </row>
    <row r="64" spans="1:6" s="9" customFormat="1">
      <c r="A64" s="6"/>
      <c r="B64" s="7"/>
      <c r="C64" s="6"/>
      <c r="D64" s="8"/>
      <c r="E64" s="6"/>
      <c r="F64" s="6"/>
    </row>
    <row r="65" spans="1:6" s="13" customFormat="1">
      <c r="A65" s="12"/>
      <c r="B65" s="11" t="s">
        <v>13</v>
      </c>
      <c r="C65" s="12"/>
      <c r="D65" s="8"/>
      <c r="E65" s="6"/>
      <c r="F65" s="6"/>
    </row>
    <row r="66" spans="1:6" s="13" customFormat="1">
      <c r="A66" s="12"/>
      <c r="B66" s="14" t="s">
        <v>14</v>
      </c>
      <c r="C66" s="12"/>
      <c r="D66" s="8"/>
      <c r="E66" s="6"/>
      <c r="F66" s="6"/>
    </row>
    <row r="67" spans="1:6" s="13" customFormat="1">
      <c r="A67" s="12"/>
      <c r="B67" s="14"/>
      <c r="C67" s="12"/>
      <c r="D67" s="8"/>
      <c r="E67" s="6"/>
      <c r="F67" s="6"/>
    </row>
    <row r="68" spans="1:6" s="13" customFormat="1">
      <c r="A68" s="12"/>
      <c r="B68" s="10"/>
      <c r="C68" s="12"/>
      <c r="D68" s="8"/>
      <c r="E68" s="6"/>
      <c r="F68" s="6"/>
    </row>
    <row r="69" spans="1:6" s="13" customFormat="1">
      <c r="A69" s="12"/>
      <c r="B69" s="10"/>
      <c r="C69" s="12"/>
      <c r="D69" s="8"/>
      <c r="E69" s="6"/>
      <c r="F69" s="6"/>
    </row>
    <row r="70" spans="1:6" s="13" customFormat="1">
      <c r="A70" s="12"/>
      <c r="B70" s="10" t="s">
        <v>15</v>
      </c>
      <c r="C70" s="12"/>
      <c r="D70" s="8"/>
      <c r="E70" s="6"/>
      <c r="F70" s="6"/>
    </row>
    <row r="71" spans="1:6" s="13" customFormat="1">
      <c r="A71" s="12"/>
      <c r="B71" s="10" t="s">
        <v>16</v>
      </c>
      <c r="C71" s="12"/>
      <c r="D71" s="8"/>
      <c r="E71" s="6"/>
      <c r="F71" s="6"/>
    </row>
  </sheetData>
  <protectedRanges>
    <protectedRange sqref="E4" name="Range1"/>
  </protectedRanges>
  <mergeCells count="10">
    <mergeCell ref="A59:F59"/>
    <mergeCell ref="A60:F60"/>
    <mergeCell ref="A61:F61"/>
    <mergeCell ref="A62:F62"/>
    <mergeCell ref="A2:F2"/>
    <mergeCell ref="A3:F3"/>
    <mergeCell ref="B55:F55"/>
    <mergeCell ref="B56:E56"/>
    <mergeCell ref="B57:E57"/>
    <mergeCell ref="B58:E58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6270-D4F5-4E32-89C8-CDD7FB11628A}">
  <sheetPr>
    <tabColor rgb="FF00B050"/>
  </sheetPr>
  <dimension ref="A1:F102"/>
  <sheetViews>
    <sheetView zoomScale="85" zoomScaleNormal="85" workbookViewId="0">
      <selection activeCell="F1" sqref="F1"/>
    </sheetView>
  </sheetViews>
  <sheetFormatPr defaultColWidth="8.85546875" defaultRowHeight="15.75"/>
  <cols>
    <col min="1" max="1" width="7.42578125" style="22" customWidth="1"/>
    <col min="2" max="2" width="58.140625" style="25" customWidth="1"/>
    <col min="3" max="3" width="13.5703125" style="25" customWidth="1"/>
    <col min="4" max="4" width="16.140625" style="29" customWidth="1"/>
    <col min="5" max="6" width="15.42578125" style="22" customWidth="1"/>
    <col min="7" max="16384" width="8.85546875" style="16"/>
  </cols>
  <sheetData>
    <row r="1" spans="1:6" s="2" customFormat="1" ht="20.45" customHeight="1">
      <c r="A1" s="65"/>
      <c r="B1" s="66"/>
      <c r="C1" s="65"/>
      <c r="D1" s="67"/>
      <c r="E1" s="68" t="s">
        <v>107</v>
      </c>
      <c r="F1" s="69"/>
    </row>
    <row r="2" spans="1:6" s="70" customFormat="1" ht="50.45" customHeight="1">
      <c r="A2" s="213" t="str">
        <f>SUM!A12</f>
        <v xml:space="preserve">ВЕДОМОСТЬ ОБЪЕМОВ РАБОТ / BILL OF QUANTITIES </v>
      </c>
      <c r="B2" s="213"/>
      <c r="C2" s="213"/>
      <c r="D2" s="213"/>
      <c r="E2" s="213"/>
      <c r="F2" s="213"/>
    </row>
    <row r="3" spans="1:6" s="36" customFormat="1" ht="58.5" customHeight="1">
      <c r="A3" s="214" t="str">
        <f>SUM!A13</f>
        <v>ZP01(b) Лот 2 "Строительство системы водоснабжения в селе Бостондех, район Пянджакент, Согдийская область"/
ZP01(b) Lot 2 “Construction of water supply system in Bostondeh village, Panjakent district, Sughd region”</v>
      </c>
      <c r="B3" s="214"/>
      <c r="C3" s="214"/>
      <c r="D3" s="214"/>
      <c r="E3" s="214"/>
      <c r="F3" s="214"/>
    </row>
    <row r="4" spans="1:6" s="2" customFormat="1" ht="64.349999999999994" customHeight="1">
      <c r="A4" s="71" t="s">
        <v>114</v>
      </c>
      <c r="B4" s="71" t="s">
        <v>92</v>
      </c>
      <c r="C4" s="71" t="s">
        <v>115</v>
      </c>
      <c r="D4" s="72" t="s">
        <v>116</v>
      </c>
      <c r="E4" s="87" t="s">
        <v>99</v>
      </c>
      <c r="F4" s="88" t="s">
        <v>100</v>
      </c>
    </row>
    <row r="5" spans="1:6" ht="34.5" customHeight="1">
      <c r="A5" s="89" t="s">
        <v>819</v>
      </c>
      <c r="B5" s="91" t="s">
        <v>982</v>
      </c>
      <c r="C5" s="89"/>
      <c r="D5" s="89"/>
      <c r="E5" s="89"/>
      <c r="F5" s="89"/>
    </row>
    <row r="6" spans="1:6" ht="34.5" customHeight="1">
      <c r="A6" s="89"/>
      <c r="B6" s="91" t="s">
        <v>833</v>
      </c>
      <c r="C6" s="89"/>
      <c r="D6" s="89"/>
      <c r="E6" s="89"/>
      <c r="F6" s="89"/>
    </row>
    <row r="7" spans="1:6">
      <c r="A7" s="89" t="s">
        <v>147</v>
      </c>
      <c r="B7" s="92" t="s">
        <v>129</v>
      </c>
      <c r="C7" s="89"/>
      <c r="D7" s="89"/>
      <c r="E7" s="89"/>
      <c r="F7" s="89"/>
    </row>
    <row r="8" spans="1:6" ht="94.5">
      <c r="A8" s="26" t="s">
        <v>1</v>
      </c>
      <c r="B8" s="73" t="s">
        <v>599</v>
      </c>
      <c r="C8" s="31" t="s">
        <v>86</v>
      </c>
      <c r="D8" s="27">
        <f>0.183*1000</f>
        <v>183</v>
      </c>
      <c r="E8" s="18"/>
      <c r="F8" s="18">
        <f t="shared" ref="F8:F13" si="0">ROUND(D8*E8,2)</f>
        <v>0</v>
      </c>
    </row>
    <row r="9" spans="1:6" ht="31.5">
      <c r="A9" s="26" t="s">
        <v>18</v>
      </c>
      <c r="B9" s="73" t="s">
        <v>363</v>
      </c>
      <c r="C9" s="31" t="s">
        <v>86</v>
      </c>
      <c r="D9" s="27">
        <v>5.49</v>
      </c>
      <c r="E9" s="18"/>
      <c r="F9" s="18">
        <f t="shared" si="0"/>
        <v>0</v>
      </c>
    </row>
    <row r="10" spans="1:6" ht="47.25">
      <c r="A10" s="26" t="s">
        <v>19</v>
      </c>
      <c r="B10" s="73" t="s">
        <v>600</v>
      </c>
      <c r="C10" s="31" t="s">
        <v>86</v>
      </c>
      <c r="D10" s="27">
        <v>1.5</v>
      </c>
      <c r="E10" s="18"/>
      <c r="F10" s="18">
        <f t="shared" si="0"/>
        <v>0</v>
      </c>
    </row>
    <row r="11" spans="1:6" ht="78.75">
      <c r="A11" s="26" t="s">
        <v>20</v>
      </c>
      <c r="B11" s="73" t="s">
        <v>163</v>
      </c>
      <c r="C11" s="31" t="s">
        <v>86</v>
      </c>
      <c r="D11" s="27">
        <f>0.16335*1000</f>
        <v>163.35</v>
      </c>
      <c r="E11" s="18"/>
      <c r="F11" s="18">
        <f>ROUND(D11*E11,2)</f>
        <v>0</v>
      </c>
    </row>
    <row r="12" spans="1:6" ht="47.25">
      <c r="A12" s="26" t="s">
        <v>21</v>
      </c>
      <c r="B12" s="73" t="s">
        <v>130</v>
      </c>
      <c r="C12" s="31" t="s">
        <v>86</v>
      </c>
      <c r="D12" s="27">
        <v>163.35</v>
      </c>
      <c r="E12" s="18"/>
      <c r="F12" s="18">
        <f>ROUND(D12*E12,2)</f>
        <v>0</v>
      </c>
    </row>
    <row r="13" spans="1:6" ht="31.5">
      <c r="A13" s="26" t="s">
        <v>22</v>
      </c>
      <c r="B13" s="73" t="s">
        <v>173</v>
      </c>
      <c r="C13" s="31" t="s">
        <v>86</v>
      </c>
      <c r="D13" s="27">
        <v>18.149999999999999</v>
      </c>
      <c r="E13" s="18"/>
      <c r="F13" s="18">
        <f t="shared" si="0"/>
        <v>0</v>
      </c>
    </row>
    <row r="14" spans="1:6">
      <c r="A14" s="23"/>
      <c r="B14" s="32" t="s">
        <v>17</v>
      </c>
      <c r="C14" s="19"/>
      <c r="D14" s="28"/>
      <c r="E14" s="20"/>
      <c r="F14" s="20">
        <f>SUM(F8:F13)</f>
        <v>0</v>
      </c>
    </row>
    <row r="15" spans="1:6" ht="18.75" customHeight="1">
      <c r="A15" s="89" t="s">
        <v>139</v>
      </c>
      <c r="B15" s="91" t="s">
        <v>978</v>
      </c>
      <c r="C15" s="89"/>
      <c r="D15" s="89"/>
      <c r="E15" s="89"/>
      <c r="F15" s="89"/>
    </row>
    <row r="16" spans="1:6" ht="78.75">
      <c r="A16" s="26" t="s">
        <v>31</v>
      </c>
      <c r="B16" s="73" t="s">
        <v>709</v>
      </c>
      <c r="C16" s="31" t="s">
        <v>89</v>
      </c>
      <c r="D16" s="27">
        <v>1</v>
      </c>
      <c r="E16" s="18"/>
      <c r="F16" s="18">
        <f t="shared" ref="F16:F23" si="1">ROUND(D16*E16,2)</f>
        <v>0</v>
      </c>
    </row>
    <row r="17" spans="1:6" ht="63">
      <c r="A17" s="26" t="s">
        <v>32</v>
      </c>
      <c r="B17" s="73" t="s">
        <v>710</v>
      </c>
      <c r="C17" s="31" t="s">
        <v>89</v>
      </c>
      <c r="D17" s="27">
        <f>2+1</f>
        <v>3</v>
      </c>
      <c r="E17" s="18"/>
      <c r="F17" s="18">
        <f t="shared" si="1"/>
        <v>0</v>
      </c>
    </row>
    <row r="18" spans="1:6" ht="47.25">
      <c r="A18" s="26" t="s">
        <v>33</v>
      </c>
      <c r="B18" s="73" t="s">
        <v>711</v>
      </c>
      <c r="C18" s="31" t="s">
        <v>87</v>
      </c>
      <c r="D18" s="27">
        <f>0.036*1000</f>
        <v>36</v>
      </c>
      <c r="E18" s="18"/>
      <c r="F18" s="18">
        <f t="shared" si="1"/>
        <v>0</v>
      </c>
    </row>
    <row r="19" spans="1:6" ht="63">
      <c r="A19" s="26" t="s">
        <v>34</v>
      </c>
      <c r="B19" s="73" t="s">
        <v>712</v>
      </c>
      <c r="C19" s="31" t="s">
        <v>87</v>
      </c>
      <c r="D19" s="27">
        <v>36</v>
      </c>
      <c r="E19" s="18"/>
      <c r="F19" s="18">
        <f t="shared" si="1"/>
        <v>0</v>
      </c>
    </row>
    <row r="20" spans="1:6" ht="94.5">
      <c r="A20" s="26" t="s">
        <v>35</v>
      </c>
      <c r="B20" s="73" t="s">
        <v>511</v>
      </c>
      <c r="C20" s="31" t="s">
        <v>87</v>
      </c>
      <c r="D20" s="27">
        <v>5</v>
      </c>
      <c r="E20" s="18"/>
      <c r="F20" s="18">
        <f t="shared" si="1"/>
        <v>0</v>
      </c>
    </row>
    <row r="21" spans="1:6" ht="63">
      <c r="A21" s="26" t="s">
        <v>36</v>
      </c>
      <c r="B21" s="73" t="s">
        <v>713</v>
      </c>
      <c r="C21" s="31" t="s">
        <v>87</v>
      </c>
      <c r="D21" s="27">
        <v>5</v>
      </c>
      <c r="E21" s="18"/>
      <c r="F21" s="18">
        <f t="shared" si="1"/>
        <v>0</v>
      </c>
    </row>
    <row r="22" spans="1:6">
      <c r="A22" s="26" t="s">
        <v>25</v>
      </c>
      <c r="B22" s="73" t="s">
        <v>714</v>
      </c>
      <c r="C22" s="31" t="s">
        <v>89</v>
      </c>
      <c r="D22" s="27">
        <v>2</v>
      </c>
      <c r="E22" s="18"/>
      <c r="F22" s="18">
        <f t="shared" si="1"/>
        <v>0</v>
      </c>
    </row>
    <row r="23" spans="1:6">
      <c r="A23" s="26" t="s">
        <v>37</v>
      </c>
      <c r="B23" s="73" t="s">
        <v>484</v>
      </c>
      <c r="C23" s="31" t="s">
        <v>89</v>
      </c>
      <c r="D23" s="27">
        <v>1</v>
      </c>
      <c r="E23" s="18"/>
      <c r="F23" s="18">
        <f t="shared" si="1"/>
        <v>0</v>
      </c>
    </row>
    <row r="24" spans="1:6">
      <c r="A24" s="23"/>
      <c r="B24" s="32" t="s">
        <v>17</v>
      </c>
      <c r="C24" s="31"/>
      <c r="D24" s="27"/>
      <c r="E24" s="18"/>
      <c r="F24" s="20">
        <f>SUM(F16:F23)</f>
        <v>0</v>
      </c>
    </row>
    <row r="25" spans="1:6" ht="18.75" customHeight="1">
      <c r="A25" s="89" t="s">
        <v>93</v>
      </c>
      <c r="B25" s="91" t="s">
        <v>979</v>
      </c>
      <c r="C25" s="89"/>
      <c r="D25" s="89"/>
      <c r="E25" s="89"/>
      <c r="F25" s="89"/>
    </row>
    <row r="26" spans="1:6" ht="78.75">
      <c r="A26" s="26" t="s">
        <v>54</v>
      </c>
      <c r="B26" s="73" t="s">
        <v>709</v>
      </c>
      <c r="C26" s="31" t="s">
        <v>89</v>
      </c>
      <c r="D26" s="27">
        <v>1</v>
      </c>
      <c r="E26" s="18"/>
      <c r="F26" s="18">
        <f t="shared" ref="F26:F27" si="2">ROUND(D26*E26,2)</f>
        <v>0</v>
      </c>
    </row>
    <row r="27" spans="1:6" ht="63">
      <c r="A27" s="26" t="s">
        <v>55</v>
      </c>
      <c r="B27" s="73" t="s">
        <v>710</v>
      </c>
      <c r="C27" s="31" t="s">
        <v>89</v>
      </c>
      <c r="D27" s="27">
        <f>1+1</f>
        <v>2</v>
      </c>
      <c r="E27" s="18"/>
      <c r="F27" s="18">
        <f t="shared" si="2"/>
        <v>0</v>
      </c>
    </row>
    <row r="28" spans="1:6" ht="47.25">
      <c r="A28" s="26" t="s">
        <v>56</v>
      </c>
      <c r="B28" s="73" t="s">
        <v>711</v>
      </c>
      <c r="C28" s="31" t="s">
        <v>87</v>
      </c>
      <c r="D28" s="27">
        <f>0.016*1000</f>
        <v>16</v>
      </c>
      <c r="E28" s="18"/>
      <c r="F28" s="18">
        <f>ROUND(D28*E28,2)</f>
        <v>0</v>
      </c>
    </row>
    <row r="29" spans="1:6" ht="63">
      <c r="A29" s="26" t="s">
        <v>57</v>
      </c>
      <c r="B29" s="73" t="s">
        <v>712</v>
      </c>
      <c r="C29" s="31" t="s">
        <v>87</v>
      </c>
      <c r="D29" s="27">
        <f>0.016*1000</f>
        <v>16</v>
      </c>
      <c r="E29" s="18"/>
      <c r="F29" s="18">
        <f>ROUND(D29*E29,2)</f>
        <v>0</v>
      </c>
    </row>
    <row r="30" spans="1:6" ht="78.75">
      <c r="A30" s="26" t="s">
        <v>58</v>
      </c>
      <c r="B30" s="73" t="s">
        <v>719</v>
      </c>
      <c r="C30" s="31" t="s">
        <v>87</v>
      </c>
      <c r="D30" s="27">
        <v>4</v>
      </c>
      <c r="E30" s="18"/>
      <c r="F30" s="18">
        <f>ROUND(D30*E30,2)</f>
        <v>0</v>
      </c>
    </row>
    <row r="31" spans="1:6" ht="63">
      <c r="A31" s="26" t="s">
        <v>59</v>
      </c>
      <c r="B31" s="73" t="s">
        <v>718</v>
      </c>
      <c r="C31" s="31" t="s">
        <v>87</v>
      </c>
      <c r="D31" s="27">
        <v>4</v>
      </c>
      <c r="E31" s="18"/>
      <c r="F31" s="18">
        <f>ROUND(D31*E31,2)</f>
        <v>0</v>
      </c>
    </row>
    <row r="32" spans="1:6">
      <c r="A32" s="26" t="s">
        <v>60</v>
      </c>
      <c r="B32" s="73" t="s">
        <v>717</v>
      </c>
      <c r="C32" s="31" t="s">
        <v>89</v>
      </c>
      <c r="D32" s="27">
        <v>1</v>
      </c>
      <c r="E32" s="18"/>
      <c r="F32" s="18">
        <f>ROUND(D32*E32,2)</f>
        <v>0</v>
      </c>
    </row>
    <row r="33" spans="1:6">
      <c r="A33" s="23"/>
      <c r="B33" s="32" t="s">
        <v>17</v>
      </c>
      <c r="C33" s="31"/>
      <c r="D33" s="27"/>
      <c r="E33" s="18"/>
      <c r="F33" s="20">
        <f>SUM(F26:F32)</f>
        <v>0</v>
      </c>
    </row>
    <row r="34" spans="1:6" ht="18.75" customHeight="1">
      <c r="A34" s="89" t="s">
        <v>141</v>
      </c>
      <c r="B34" s="91" t="s">
        <v>980</v>
      </c>
      <c r="C34" s="89"/>
      <c r="D34" s="89"/>
      <c r="E34" s="89"/>
      <c r="F34" s="89"/>
    </row>
    <row r="35" spans="1:6" ht="94.5">
      <c r="A35" s="26" t="s">
        <v>63</v>
      </c>
      <c r="B35" s="73" t="s">
        <v>816</v>
      </c>
      <c r="C35" s="31" t="s">
        <v>87</v>
      </c>
      <c r="D35" s="27">
        <v>8</v>
      </c>
      <c r="E35" s="18"/>
      <c r="F35" s="18">
        <f>ROUND(D35*E35,2)</f>
        <v>0</v>
      </c>
    </row>
    <row r="36" spans="1:6" ht="63">
      <c r="A36" s="26" t="s">
        <v>64</v>
      </c>
      <c r="B36" s="73" t="s">
        <v>817</v>
      </c>
      <c r="C36" s="31" t="s">
        <v>87</v>
      </c>
      <c r="D36" s="27">
        <v>8</v>
      </c>
      <c r="E36" s="18"/>
      <c r="F36" s="18">
        <f t="shared" ref="F36:F80" si="3">ROUND(D36*E36,2)</f>
        <v>0</v>
      </c>
    </row>
    <row r="37" spans="1:6">
      <c r="A37" s="23"/>
      <c r="B37" s="32" t="s">
        <v>17</v>
      </c>
      <c r="C37" s="31"/>
      <c r="D37" s="27"/>
      <c r="E37" s="18"/>
      <c r="F37" s="20">
        <f>SUM(F35:F36)</f>
        <v>0</v>
      </c>
    </row>
    <row r="38" spans="1:6" ht="18.75" customHeight="1">
      <c r="A38" s="89" t="s">
        <v>148</v>
      </c>
      <c r="B38" s="91" t="s">
        <v>981</v>
      </c>
      <c r="C38" s="89"/>
      <c r="D38" s="89"/>
      <c r="E38" s="89"/>
      <c r="F38" s="89"/>
    </row>
    <row r="39" spans="1:6" ht="78.75">
      <c r="A39" s="26" t="s">
        <v>68</v>
      </c>
      <c r="B39" s="73" t="s">
        <v>720</v>
      </c>
      <c r="C39" s="31" t="s">
        <v>89</v>
      </c>
      <c r="D39" s="27">
        <v>1</v>
      </c>
      <c r="E39" s="18"/>
      <c r="F39" s="18">
        <f t="shared" si="3"/>
        <v>0</v>
      </c>
    </row>
    <row r="40" spans="1:6" ht="63">
      <c r="A40" s="26" t="s">
        <v>72</v>
      </c>
      <c r="B40" s="73" t="s">
        <v>722</v>
      </c>
      <c r="C40" s="31" t="s">
        <v>89</v>
      </c>
      <c r="D40" s="27">
        <f>1+1</f>
        <v>2</v>
      </c>
      <c r="E40" s="18"/>
      <c r="F40" s="18">
        <f t="shared" si="3"/>
        <v>0</v>
      </c>
    </row>
    <row r="41" spans="1:6" ht="88.5" customHeight="1">
      <c r="A41" s="26" t="s">
        <v>73</v>
      </c>
      <c r="B41" s="73" t="s">
        <v>612</v>
      </c>
      <c r="C41" s="31" t="s">
        <v>87</v>
      </c>
      <c r="D41" s="27">
        <v>4</v>
      </c>
      <c r="E41" s="18"/>
      <c r="F41" s="18">
        <f t="shared" si="3"/>
        <v>0</v>
      </c>
    </row>
    <row r="42" spans="1:6" ht="31.5">
      <c r="A42" s="26" t="s">
        <v>71</v>
      </c>
      <c r="B42" s="73" t="s">
        <v>721</v>
      </c>
      <c r="C42" s="31" t="s">
        <v>87</v>
      </c>
      <c r="D42" s="27">
        <v>4</v>
      </c>
      <c r="E42" s="18"/>
      <c r="F42" s="18">
        <f t="shared" ref="F42:F43" si="4">ROUND(D42*E42,2)</f>
        <v>0</v>
      </c>
    </row>
    <row r="43" spans="1:6" ht="47.25">
      <c r="A43" s="26" t="s">
        <v>74</v>
      </c>
      <c r="B43" s="73" t="s">
        <v>723</v>
      </c>
      <c r="C43" s="31" t="s">
        <v>87</v>
      </c>
      <c r="D43" s="27">
        <f>0.178*1000</f>
        <v>178</v>
      </c>
      <c r="E43" s="18"/>
      <c r="F43" s="18">
        <f t="shared" si="4"/>
        <v>0</v>
      </c>
    </row>
    <row r="44" spans="1:6" ht="63">
      <c r="A44" s="26" t="s">
        <v>191</v>
      </c>
      <c r="B44" s="73" t="s">
        <v>724</v>
      </c>
      <c r="C44" s="31" t="s">
        <v>87</v>
      </c>
      <c r="D44" s="27">
        <f>0.178*1000</f>
        <v>178</v>
      </c>
      <c r="E44" s="18"/>
      <c r="F44" s="18">
        <f t="shared" si="3"/>
        <v>0</v>
      </c>
    </row>
    <row r="45" spans="1:6">
      <c r="A45" s="26" t="s">
        <v>254</v>
      </c>
      <c r="B45" s="73" t="s">
        <v>725</v>
      </c>
      <c r="C45" s="31" t="s">
        <v>89</v>
      </c>
      <c r="D45" s="27">
        <v>1</v>
      </c>
      <c r="E45" s="18"/>
      <c r="F45" s="18">
        <f t="shared" si="3"/>
        <v>0</v>
      </c>
    </row>
    <row r="46" spans="1:6" ht="31.5">
      <c r="A46" s="26" t="s">
        <v>255</v>
      </c>
      <c r="B46" s="73" t="s">
        <v>726</v>
      </c>
      <c r="C46" s="31" t="s">
        <v>89</v>
      </c>
      <c r="D46" s="27">
        <v>1</v>
      </c>
      <c r="E46" s="18"/>
      <c r="F46" s="18">
        <f t="shared" si="3"/>
        <v>0</v>
      </c>
    </row>
    <row r="47" spans="1:6">
      <c r="A47" s="23"/>
      <c r="B47" s="32" t="s">
        <v>17</v>
      </c>
      <c r="C47" s="31"/>
      <c r="D47" s="27"/>
      <c r="E47" s="18"/>
      <c r="F47" s="20">
        <f>SUM(F39:F46)</f>
        <v>0</v>
      </c>
    </row>
    <row r="48" spans="1:6" ht="18.75" customHeight="1">
      <c r="A48" s="89" t="s">
        <v>118</v>
      </c>
      <c r="B48" s="91" t="s">
        <v>815</v>
      </c>
      <c r="C48" s="89"/>
      <c r="D48" s="89"/>
      <c r="E48" s="89"/>
      <c r="F48" s="89"/>
    </row>
    <row r="49" spans="1:6" ht="18.75" customHeight="1">
      <c r="A49" s="89" t="s">
        <v>75</v>
      </c>
      <c r="B49" s="92" t="s">
        <v>129</v>
      </c>
      <c r="C49" s="89"/>
      <c r="D49" s="89"/>
      <c r="E49" s="89"/>
      <c r="F49" s="89"/>
    </row>
    <row r="50" spans="1:6" ht="118.35" customHeight="1">
      <c r="A50" s="26" t="s">
        <v>766</v>
      </c>
      <c r="B50" s="73" t="s">
        <v>368</v>
      </c>
      <c r="C50" s="31" t="s">
        <v>86</v>
      </c>
      <c r="D50" s="27">
        <f>0.009126*1000</f>
        <v>9.1260000000000012</v>
      </c>
      <c r="E50" s="18"/>
      <c r="F50" s="18">
        <f t="shared" si="3"/>
        <v>0</v>
      </c>
    </row>
    <row r="51" spans="1:6" ht="78.75">
      <c r="A51" s="26" t="s">
        <v>767</v>
      </c>
      <c r="B51" s="73" t="s">
        <v>170</v>
      </c>
      <c r="C51" s="31" t="s">
        <v>88</v>
      </c>
      <c r="D51" s="27">
        <v>14.601599999999999</v>
      </c>
      <c r="E51" s="18"/>
      <c r="F51" s="18">
        <f t="shared" si="3"/>
        <v>0</v>
      </c>
    </row>
    <row r="52" spans="1:6" ht="78.75">
      <c r="A52" s="26" t="s">
        <v>768</v>
      </c>
      <c r="B52" s="73" t="s">
        <v>171</v>
      </c>
      <c r="C52" s="31" t="s">
        <v>86</v>
      </c>
      <c r="D52" s="27">
        <f>0.056784*1000</f>
        <v>56.783999999999999</v>
      </c>
      <c r="E52" s="18"/>
      <c r="F52" s="18">
        <f t="shared" si="3"/>
        <v>0</v>
      </c>
    </row>
    <row r="53" spans="1:6" ht="31.5">
      <c r="A53" s="26" t="s">
        <v>769</v>
      </c>
      <c r="B53" s="73" t="s">
        <v>162</v>
      </c>
      <c r="C53" s="31" t="s">
        <v>86</v>
      </c>
      <c r="D53" s="27">
        <f>0.028392*100</f>
        <v>2.8391999999999999</v>
      </c>
      <c r="E53" s="18"/>
      <c r="F53" s="18">
        <f t="shared" si="3"/>
        <v>0</v>
      </c>
    </row>
    <row r="54" spans="1:6" ht="78.75">
      <c r="A54" s="26" t="s">
        <v>770</v>
      </c>
      <c r="B54" s="73" t="s">
        <v>358</v>
      </c>
      <c r="C54" s="31" t="s">
        <v>86</v>
      </c>
      <c r="D54" s="27">
        <f>0.051106*1000</f>
        <v>51.106000000000002</v>
      </c>
      <c r="E54" s="18"/>
      <c r="F54" s="18">
        <f t="shared" si="3"/>
        <v>0</v>
      </c>
    </row>
    <row r="55" spans="1:6" ht="47.25">
      <c r="A55" s="26" t="s">
        <v>771</v>
      </c>
      <c r="B55" s="73" t="s">
        <v>130</v>
      </c>
      <c r="C55" s="31" t="s">
        <v>86</v>
      </c>
      <c r="D55" s="27">
        <f>0.051106*1000</f>
        <v>51.106000000000002</v>
      </c>
      <c r="E55" s="18"/>
      <c r="F55" s="18">
        <f t="shared" si="3"/>
        <v>0</v>
      </c>
    </row>
    <row r="56" spans="1:6" ht="31.5">
      <c r="A56" s="26" t="s">
        <v>772</v>
      </c>
      <c r="B56" s="73" t="s">
        <v>173</v>
      </c>
      <c r="C56" s="31" t="s">
        <v>86</v>
      </c>
      <c r="D56" s="27">
        <f>0.056784*1000</f>
        <v>56.783999999999999</v>
      </c>
      <c r="E56" s="18"/>
      <c r="F56" s="18">
        <f t="shared" si="3"/>
        <v>0</v>
      </c>
    </row>
    <row r="57" spans="1:6" ht="18.75" customHeight="1">
      <c r="A57" s="89" t="s">
        <v>76</v>
      </c>
      <c r="B57" s="92" t="s">
        <v>140</v>
      </c>
      <c r="C57" s="89"/>
      <c r="D57" s="89"/>
      <c r="E57" s="89"/>
      <c r="F57" s="89"/>
    </row>
    <row r="58" spans="1:6" ht="31.5">
      <c r="A58" s="26" t="s">
        <v>773</v>
      </c>
      <c r="B58" s="73" t="s">
        <v>131</v>
      </c>
      <c r="C58" s="31" t="s">
        <v>86</v>
      </c>
      <c r="D58" s="27">
        <v>0.53</v>
      </c>
      <c r="E58" s="18"/>
      <c r="F58" s="18">
        <f t="shared" si="3"/>
        <v>0</v>
      </c>
    </row>
    <row r="59" spans="1:6" ht="47.25">
      <c r="A59" s="26" t="s">
        <v>774</v>
      </c>
      <c r="B59" s="120" t="s">
        <v>615</v>
      </c>
      <c r="C59" s="31" t="s">
        <v>86</v>
      </c>
      <c r="D59" s="31">
        <v>0.67</v>
      </c>
      <c r="E59" s="18"/>
      <c r="F59" s="18">
        <f t="shared" si="3"/>
        <v>0</v>
      </c>
    </row>
    <row r="60" spans="1:6" ht="31.5">
      <c r="A60" s="26" t="s">
        <v>775</v>
      </c>
      <c r="B60" s="73" t="s">
        <v>124</v>
      </c>
      <c r="C60" s="31" t="s">
        <v>88</v>
      </c>
      <c r="D60" s="27">
        <v>0.08</v>
      </c>
      <c r="E60" s="18"/>
      <c r="F60" s="18">
        <f t="shared" si="3"/>
        <v>0</v>
      </c>
    </row>
    <row r="61" spans="1:6" ht="31.5">
      <c r="A61" s="26" t="s">
        <v>776</v>
      </c>
      <c r="B61" s="73" t="s">
        <v>614</v>
      </c>
      <c r="C61" s="31" t="s">
        <v>88</v>
      </c>
      <c r="D61" s="27">
        <v>5.3269999999999998E-2</v>
      </c>
      <c r="E61" s="18"/>
      <c r="F61" s="18">
        <f t="shared" si="3"/>
        <v>0</v>
      </c>
    </row>
    <row r="62" spans="1:6" ht="18.75" customHeight="1">
      <c r="A62" s="89" t="s">
        <v>69</v>
      </c>
      <c r="B62" s="92" t="s">
        <v>616</v>
      </c>
      <c r="C62" s="89"/>
      <c r="D62" s="89"/>
      <c r="E62" s="89"/>
      <c r="F62" s="89"/>
    </row>
    <row r="63" spans="1:6" ht="47.25">
      <c r="A63" s="26" t="s">
        <v>777</v>
      </c>
      <c r="B63" s="73" t="s">
        <v>617</v>
      </c>
      <c r="C63" s="31" t="s">
        <v>86</v>
      </c>
      <c r="D63" s="27">
        <v>3.3050000000000002</v>
      </c>
      <c r="E63" s="18"/>
      <c r="F63" s="18">
        <f t="shared" si="3"/>
        <v>0</v>
      </c>
    </row>
    <row r="64" spans="1:6" ht="36" customHeight="1">
      <c r="A64" s="21"/>
      <c r="B64" s="94" t="s">
        <v>177</v>
      </c>
      <c r="C64" s="21"/>
      <c r="D64" s="90"/>
      <c r="E64" s="21"/>
      <c r="F64" s="21"/>
    </row>
    <row r="65" spans="1:6" ht="19.5" customHeight="1">
      <c r="A65" s="26" t="s">
        <v>778</v>
      </c>
      <c r="B65" s="73" t="s">
        <v>125</v>
      </c>
      <c r="C65" s="31" t="s">
        <v>88</v>
      </c>
      <c r="D65" s="27">
        <f>0.008</f>
        <v>8.0000000000000002E-3</v>
      </c>
      <c r="E65" s="18"/>
      <c r="F65" s="18">
        <f t="shared" ref="F65" si="5">ROUND(D65*E65,2)</f>
        <v>0</v>
      </c>
    </row>
    <row r="66" spans="1:6" ht="21" customHeight="1">
      <c r="A66" s="26" t="s">
        <v>779</v>
      </c>
      <c r="B66" s="73" t="s">
        <v>126</v>
      </c>
      <c r="C66" s="31" t="s">
        <v>88</v>
      </c>
      <c r="D66" s="27">
        <f>0.217+0.141</f>
        <v>0.35799999999999998</v>
      </c>
      <c r="E66" s="18"/>
      <c r="F66" s="18">
        <f>ROUND(D66*E66,2)</f>
        <v>0</v>
      </c>
    </row>
    <row r="67" spans="1:6" ht="31.5">
      <c r="A67" s="26" t="s">
        <v>780</v>
      </c>
      <c r="B67" s="73" t="s">
        <v>728</v>
      </c>
      <c r="C67" s="31" t="s">
        <v>91</v>
      </c>
      <c r="D67" s="27">
        <v>15.19</v>
      </c>
      <c r="E67" s="18"/>
      <c r="F67" s="18">
        <f t="shared" si="3"/>
        <v>0</v>
      </c>
    </row>
    <row r="68" spans="1:6" ht="47.25">
      <c r="A68" s="26" t="s">
        <v>781</v>
      </c>
      <c r="B68" s="73" t="s">
        <v>727</v>
      </c>
      <c r="C68" s="31" t="s">
        <v>86</v>
      </c>
      <c r="D68" s="27">
        <v>0.75949999999999995</v>
      </c>
      <c r="E68" s="18"/>
      <c r="F68" s="18">
        <f t="shared" si="3"/>
        <v>0</v>
      </c>
    </row>
    <row r="69" spans="1:6" ht="21.75" customHeight="1">
      <c r="A69" s="21"/>
      <c r="B69" s="35" t="s">
        <v>187</v>
      </c>
      <c r="C69" s="21"/>
      <c r="D69" s="90"/>
      <c r="E69" s="21"/>
      <c r="F69" s="21"/>
    </row>
    <row r="70" spans="1:6" ht="47.25">
      <c r="A70" s="26" t="s">
        <v>782</v>
      </c>
      <c r="B70" s="73" t="s">
        <v>186</v>
      </c>
      <c r="C70" s="31" t="s">
        <v>86</v>
      </c>
      <c r="D70" s="27">
        <v>3.5999999999999997E-2</v>
      </c>
      <c r="E70" s="18"/>
      <c r="F70" s="18">
        <f t="shared" si="3"/>
        <v>0</v>
      </c>
    </row>
    <row r="71" spans="1:6" ht="18.75" customHeight="1">
      <c r="A71" s="89" t="s">
        <v>77</v>
      </c>
      <c r="B71" s="91" t="s">
        <v>618</v>
      </c>
      <c r="C71" s="89"/>
      <c r="D71" s="89"/>
      <c r="E71" s="89"/>
      <c r="F71" s="89"/>
    </row>
    <row r="72" spans="1:6" ht="31.5">
      <c r="A72" s="26" t="s">
        <v>783</v>
      </c>
      <c r="B72" s="73" t="s">
        <v>184</v>
      </c>
      <c r="C72" s="31" t="s">
        <v>88</v>
      </c>
      <c r="D72" s="27">
        <v>2.104E-2</v>
      </c>
      <c r="E72" s="18"/>
      <c r="F72" s="18">
        <f t="shared" si="3"/>
        <v>0</v>
      </c>
    </row>
    <row r="73" spans="1:6" ht="31.5">
      <c r="A73" s="26" t="s">
        <v>784</v>
      </c>
      <c r="B73" s="73" t="s">
        <v>619</v>
      </c>
      <c r="C73" s="31" t="s">
        <v>91</v>
      </c>
      <c r="D73" s="27">
        <v>1.29</v>
      </c>
      <c r="E73" s="18"/>
      <c r="F73" s="18">
        <f t="shared" si="3"/>
        <v>0</v>
      </c>
    </row>
    <row r="74" spans="1:6" ht="47.25">
      <c r="A74" s="26" t="s">
        <v>785</v>
      </c>
      <c r="B74" s="73" t="s">
        <v>182</v>
      </c>
      <c r="C74" s="31" t="s">
        <v>91</v>
      </c>
      <c r="D74" s="27">
        <v>1.29</v>
      </c>
      <c r="E74" s="18"/>
      <c r="F74" s="18">
        <f t="shared" si="3"/>
        <v>0</v>
      </c>
    </row>
    <row r="75" spans="1:6" ht="18.75" customHeight="1">
      <c r="A75" s="89" t="s">
        <v>78</v>
      </c>
      <c r="B75" s="91" t="s">
        <v>620</v>
      </c>
      <c r="C75" s="89"/>
      <c r="D75" s="89"/>
      <c r="E75" s="89"/>
      <c r="F75" s="89"/>
    </row>
    <row r="76" spans="1:6" ht="31.5">
      <c r="A76" s="26" t="s">
        <v>786</v>
      </c>
      <c r="B76" s="73" t="s">
        <v>183</v>
      </c>
      <c r="C76" s="31" t="s">
        <v>86</v>
      </c>
      <c r="D76" s="27">
        <v>0.73099999999999998</v>
      </c>
      <c r="E76" s="18"/>
      <c r="F76" s="18">
        <f t="shared" si="3"/>
        <v>0</v>
      </c>
    </row>
    <row r="77" spans="1:6" ht="21" customHeight="1">
      <c r="A77" s="26" t="s">
        <v>787</v>
      </c>
      <c r="B77" s="73" t="s">
        <v>126</v>
      </c>
      <c r="C77" s="31" t="s">
        <v>88</v>
      </c>
      <c r="D77" s="27">
        <v>0.104199984</v>
      </c>
      <c r="E77" s="18"/>
      <c r="F77" s="18">
        <f>ROUND(D77*E77,2)</f>
        <v>0</v>
      </c>
    </row>
    <row r="78" spans="1:6" ht="19.5" customHeight="1">
      <c r="A78" s="26" t="s">
        <v>788</v>
      </c>
      <c r="B78" s="73" t="s">
        <v>125</v>
      </c>
      <c r="C78" s="31" t="s">
        <v>88</v>
      </c>
      <c r="D78" s="27">
        <v>2E-3</v>
      </c>
      <c r="E78" s="18"/>
      <c r="F78" s="18">
        <f t="shared" si="3"/>
        <v>0</v>
      </c>
    </row>
    <row r="79" spans="1:6" ht="31.5">
      <c r="A79" s="26" t="s">
        <v>789</v>
      </c>
      <c r="B79" s="73" t="s">
        <v>184</v>
      </c>
      <c r="C79" s="31" t="s">
        <v>88</v>
      </c>
      <c r="D79" s="27">
        <v>5.5799999999999999E-3</v>
      </c>
      <c r="E79" s="18"/>
      <c r="F79" s="18">
        <f t="shared" si="3"/>
        <v>0</v>
      </c>
    </row>
    <row r="80" spans="1:6">
      <c r="A80" s="26" t="s">
        <v>790</v>
      </c>
      <c r="B80" s="73" t="s">
        <v>185</v>
      </c>
      <c r="C80" s="31" t="s">
        <v>89</v>
      </c>
      <c r="D80" s="27">
        <v>1</v>
      </c>
      <c r="E80" s="18"/>
      <c r="F80" s="18">
        <f t="shared" si="3"/>
        <v>0</v>
      </c>
    </row>
    <row r="81" spans="1:6">
      <c r="A81" s="23"/>
      <c r="B81" s="32" t="s">
        <v>17</v>
      </c>
      <c r="C81" s="19"/>
      <c r="D81" s="28"/>
      <c r="E81" s="20"/>
      <c r="F81" s="20">
        <f>SUM(F50:F80)</f>
        <v>0</v>
      </c>
    </row>
    <row r="82" spans="1:6" s="2" customFormat="1" ht="20.85" customHeight="1">
      <c r="A82" s="1" t="s">
        <v>819</v>
      </c>
      <c r="B82" s="216" t="s">
        <v>7</v>
      </c>
      <c r="C82" s="216"/>
      <c r="D82" s="216"/>
      <c r="E82" s="216"/>
      <c r="F82" s="216"/>
    </row>
    <row r="83" spans="1:6" s="2" customFormat="1" ht="26.85" customHeight="1">
      <c r="A83" s="3">
        <v>1</v>
      </c>
      <c r="B83" s="215" t="str">
        <f>B7</f>
        <v>Земляные работы / Excavation works</v>
      </c>
      <c r="C83" s="215"/>
      <c r="D83" s="215"/>
      <c r="E83" s="215"/>
      <c r="F83" s="4">
        <f>F14</f>
        <v>0</v>
      </c>
    </row>
    <row r="84" spans="1:6" s="2" customFormat="1" ht="26.85" customHeight="1">
      <c r="A84" s="3">
        <v>2</v>
      </c>
      <c r="B84" s="217" t="str">
        <f>B15</f>
        <v>Подводящий трубопровод  / Supply pipeline</v>
      </c>
      <c r="C84" s="218"/>
      <c r="D84" s="218"/>
      <c r="E84" s="219"/>
      <c r="F84" s="4">
        <f>F24</f>
        <v>0</v>
      </c>
    </row>
    <row r="85" spans="1:6" s="2" customFormat="1" ht="26.85" customHeight="1">
      <c r="A85" s="3">
        <v>3</v>
      </c>
      <c r="B85" s="217" t="str">
        <f>B25</f>
        <v>Отводящие трубопроводы / 'Outlet pipelines</v>
      </c>
      <c r="C85" s="218"/>
      <c r="D85" s="218"/>
      <c r="E85" s="219"/>
      <c r="F85" s="4">
        <f>F33</f>
        <v>0</v>
      </c>
    </row>
    <row r="86" spans="1:6" s="2" customFormat="1" ht="26.85" customHeight="1">
      <c r="A86" s="3">
        <v>4</v>
      </c>
      <c r="B86" s="217" t="str">
        <f>B34</f>
        <v>Проливной/ 'Pouring</v>
      </c>
      <c r="C86" s="218"/>
      <c r="D86" s="218"/>
      <c r="E86" s="219"/>
      <c r="F86" s="4">
        <f>F37</f>
        <v>0</v>
      </c>
    </row>
    <row r="87" spans="1:6" s="2" customFormat="1" ht="26.85" customHeight="1">
      <c r="A87" s="3">
        <v>5</v>
      </c>
      <c r="B87" s="217" t="str">
        <f>B38</f>
        <v>Спускной трубопровод / Drain pipeline</v>
      </c>
      <c r="C87" s="218"/>
      <c r="D87" s="218"/>
      <c r="E87" s="219"/>
      <c r="F87" s="4">
        <f>F47</f>
        <v>0</v>
      </c>
    </row>
    <row r="88" spans="1:6" s="2" customFormat="1" ht="26.85" customHeight="1">
      <c r="A88" s="3">
        <v>6</v>
      </c>
      <c r="B88" s="217" t="str">
        <f>B48</f>
        <v>Колодец 1,5х1,5х3,2м / Well 1.5x1.5x3.2m</v>
      </c>
      <c r="C88" s="218"/>
      <c r="D88" s="218"/>
      <c r="E88" s="219"/>
      <c r="F88" s="4">
        <f>F81</f>
        <v>0</v>
      </c>
    </row>
    <row r="89" spans="1:6" s="2" customFormat="1" ht="25.5" customHeight="1">
      <c r="A89" s="1" t="s">
        <v>819</v>
      </c>
      <c r="B89" s="212" t="s">
        <v>8</v>
      </c>
      <c r="C89" s="212"/>
      <c r="D89" s="212"/>
      <c r="E89" s="212"/>
      <c r="F89" s="5">
        <f>SUM(F83:F88)</f>
        <v>0</v>
      </c>
    </row>
    <row r="90" spans="1:6" s="15" customFormat="1" ht="28.5" customHeight="1">
      <c r="A90" s="211" t="s">
        <v>9</v>
      </c>
      <c r="B90" s="211"/>
      <c r="C90" s="211"/>
      <c r="D90" s="211"/>
      <c r="E90" s="211"/>
      <c r="F90" s="211"/>
    </row>
    <row r="91" spans="1:6" s="15" customFormat="1" ht="194.45" customHeight="1">
      <c r="A91" s="211" t="s">
        <v>10</v>
      </c>
      <c r="B91" s="211"/>
      <c r="C91" s="211"/>
      <c r="D91" s="211"/>
      <c r="E91" s="211"/>
      <c r="F91" s="211"/>
    </row>
    <row r="92" spans="1:6" s="15" customFormat="1" ht="45.6" customHeight="1">
      <c r="A92" s="211" t="s">
        <v>11</v>
      </c>
      <c r="B92" s="211"/>
      <c r="C92" s="211"/>
      <c r="D92" s="211"/>
      <c r="E92" s="211"/>
      <c r="F92" s="211"/>
    </row>
    <row r="93" spans="1:6" s="15" customFormat="1" ht="169.35" customHeight="1">
      <c r="A93" s="211" t="s">
        <v>12</v>
      </c>
      <c r="B93" s="211"/>
      <c r="C93" s="211"/>
      <c r="D93" s="211"/>
      <c r="E93" s="211"/>
      <c r="F93" s="211"/>
    </row>
    <row r="94" spans="1:6" s="9" customFormat="1">
      <c r="A94" s="6"/>
      <c r="B94" s="7"/>
      <c r="C94" s="6"/>
      <c r="D94" s="8"/>
      <c r="E94" s="6"/>
      <c r="F94" s="6"/>
    </row>
    <row r="95" spans="1:6" s="9" customFormat="1">
      <c r="A95" s="6"/>
      <c r="B95" s="7"/>
      <c r="C95" s="6"/>
      <c r="D95" s="8"/>
      <c r="E95" s="6"/>
      <c r="F95" s="6"/>
    </row>
    <row r="96" spans="1:6" s="13" customFormat="1">
      <c r="A96" s="12"/>
      <c r="B96" s="11" t="s">
        <v>13</v>
      </c>
      <c r="C96" s="12"/>
      <c r="D96" s="8"/>
      <c r="E96" s="6"/>
      <c r="F96" s="6"/>
    </row>
    <row r="97" spans="1:6" s="13" customFormat="1">
      <c r="A97" s="12"/>
      <c r="B97" s="14" t="s">
        <v>14</v>
      </c>
      <c r="C97" s="12"/>
      <c r="D97" s="8"/>
      <c r="E97" s="6"/>
      <c r="F97" s="6"/>
    </row>
    <row r="98" spans="1:6" s="13" customFormat="1">
      <c r="A98" s="12"/>
      <c r="B98" s="14"/>
      <c r="C98" s="12"/>
      <c r="D98" s="8"/>
      <c r="E98" s="6"/>
      <c r="F98" s="6"/>
    </row>
    <row r="99" spans="1:6" s="13" customFormat="1">
      <c r="A99" s="12"/>
      <c r="B99" s="10"/>
      <c r="C99" s="12"/>
      <c r="D99" s="8"/>
      <c r="E99" s="6"/>
      <c r="F99" s="6"/>
    </row>
    <row r="100" spans="1:6" s="13" customFormat="1">
      <c r="A100" s="12"/>
      <c r="B100" s="10"/>
      <c r="C100" s="12"/>
      <c r="D100" s="8"/>
      <c r="E100" s="6"/>
      <c r="F100" s="6"/>
    </row>
    <row r="101" spans="1:6" s="13" customFormat="1">
      <c r="A101" s="12"/>
      <c r="B101" s="10" t="s">
        <v>15</v>
      </c>
      <c r="C101" s="12"/>
      <c r="D101" s="8"/>
      <c r="E101" s="6"/>
      <c r="F101" s="6"/>
    </row>
    <row r="102" spans="1:6" s="13" customFormat="1">
      <c r="A102" s="12"/>
      <c r="B102" s="10" t="s">
        <v>16</v>
      </c>
      <c r="C102" s="12"/>
      <c r="D102" s="8"/>
      <c r="E102" s="6"/>
      <c r="F102" s="6"/>
    </row>
  </sheetData>
  <protectedRanges>
    <protectedRange sqref="E4" name="Range1"/>
  </protectedRanges>
  <mergeCells count="14">
    <mergeCell ref="A90:F90"/>
    <mergeCell ref="A91:F91"/>
    <mergeCell ref="A92:F92"/>
    <mergeCell ref="A93:F93"/>
    <mergeCell ref="B86:E86"/>
    <mergeCell ref="B87:E87"/>
    <mergeCell ref="B88:E88"/>
    <mergeCell ref="B89:E89"/>
    <mergeCell ref="B85:E85"/>
    <mergeCell ref="A2:F2"/>
    <mergeCell ref="A3:F3"/>
    <mergeCell ref="B82:F82"/>
    <mergeCell ref="B83:E83"/>
    <mergeCell ref="B84:E8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SUM!Print_Area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Barakat</dc:creator>
  <cp:lastModifiedBy>Nargis Hamroeva</cp:lastModifiedBy>
  <cp:lastPrinted>2006-11-16T06:48:47Z</cp:lastPrinted>
  <dcterms:created xsi:type="dcterms:W3CDTF">2002-02-11T05:58:42Z</dcterms:created>
  <dcterms:modified xsi:type="dcterms:W3CDTF">2024-08-07T03:26:22Z</dcterms:modified>
</cp:coreProperties>
</file>